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<sst xmlns="http://schemas.openxmlformats.org/spreadsheetml/2006/main" count="426" uniqueCount="85">
  <si>
    <t>Водоотведение</t>
  </si>
  <si>
    <t>Водоотведение повышающий коэфф</t>
  </si>
  <si>
    <t>Горячее водоснабжение</t>
  </si>
  <si>
    <t>Горячее водоснабжение повышающий коэфф</t>
  </si>
  <si>
    <t>Отопление</t>
  </si>
  <si>
    <t>Отопление повыш коэфф</t>
  </si>
  <si>
    <t>Пени</t>
  </si>
  <si>
    <t>Содержание и ремонт жилья</t>
  </si>
  <si>
    <t>Холодное водоснабжение</t>
  </si>
  <si>
    <t>Холодное водоснабжение ОДН</t>
  </si>
  <si>
    <t>Холодное водоснабжение повышающий коэфф</t>
  </si>
  <si>
    <t>ТО слаботочных систем (пожарная сигнализация, дымоудаление)</t>
  </si>
  <si>
    <t>Электроэнергия</t>
  </si>
  <si>
    <t>Электроэнергия МОП</t>
  </si>
  <si>
    <t>Электроэнергия превышающий норматив</t>
  </si>
  <si>
    <t>Санаторная, д. 9б</t>
  </si>
  <si>
    <t>Газоснабжение (для подогрева Хол.Воды и Отопления)</t>
  </si>
  <si>
    <t>ТиАО (котельная, ЦТП, ХВО, ГРПШ)</t>
  </si>
  <si>
    <t>ТиАО наружных сетей (ливневой и быт.кан., сетей эл.снаб.)</t>
  </si>
  <si>
    <t>ТО (круглосуточное) систем диспетчиризации (котельной, ЦТП, ВНС, ХВО, пож.сигн.)</t>
  </si>
  <si>
    <t>ТО наружных газовых сетей</t>
  </si>
  <si>
    <t>Горячее водоснабжение ОДН</t>
  </si>
  <si>
    <t>Холодное водоснабжение ОДН повышающий коэфф</t>
  </si>
  <si>
    <t xml:space="preserve"> </t>
  </si>
  <si>
    <t>ВСЕГО</t>
  </si>
  <si>
    <t>Вид услуги</t>
  </si>
  <si>
    <t>Общая задолженность на 01.01.2016 г.</t>
  </si>
  <si>
    <t>Водоотведение повышающий коэфф.</t>
  </si>
  <si>
    <t>Задолженность текущего периода</t>
  </si>
  <si>
    <t>ИТОГО по водоотведению</t>
  </si>
  <si>
    <t>Горячее водоснабжение повышающий коэфф.</t>
  </si>
  <si>
    <t>ИТОГО по горячему водоснабжению</t>
  </si>
  <si>
    <t>ИТОГО по отоплению</t>
  </si>
  <si>
    <t>ИТОГО по холодному водоснабжению</t>
  </si>
  <si>
    <t>в т.ч.</t>
  </si>
  <si>
    <t xml:space="preserve"> - по жилищным услугам</t>
  </si>
  <si>
    <t xml:space="preserve"> - по коммунальным услугам</t>
  </si>
  <si>
    <t>Адрес:Калужское шоссе,1</t>
  </si>
  <si>
    <t>Адрес:БР.Жабровых,д.3/Революции,д.10/Лейтейзена,5</t>
  </si>
  <si>
    <t>Холодное водоснабжение повышающий коэфф.</t>
  </si>
  <si>
    <t>Адрес:Красноармейский пр-т,36</t>
  </si>
  <si>
    <t>ИТОГО по водоснабжению</t>
  </si>
  <si>
    <t>Адрес:пр.Ленина,112</t>
  </si>
  <si>
    <t>Адрес:пр.Ленина,120</t>
  </si>
  <si>
    <t>Адрес:пр.Ленина,149а</t>
  </si>
  <si>
    <t>Адрес.пр.Ленина,151</t>
  </si>
  <si>
    <t>ИТОГО по электроэнергии</t>
  </si>
  <si>
    <t>Адрес:Санаторная,9б</t>
  </si>
  <si>
    <t xml:space="preserve"> - прочие услуги</t>
  </si>
  <si>
    <t>Адрес:Ф.Смирнова,1</t>
  </si>
  <si>
    <t>ИТОГО по  отоплению</t>
  </si>
  <si>
    <t>Адрес:Ф.Смирнова,5</t>
  </si>
  <si>
    <t>Адрес:Ф.Смирнова,7</t>
  </si>
  <si>
    <t>Адрес:Фрунзе,4</t>
  </si>
  <si>
    <t>Адрес: Бр.Жабровых,7</t>
  </si>
  <si>
    <t xml:space="preserve">Горячее водоснабжение повышающий коэфф. </t>
  </si>
  <si>
    <t xml:space="preserve">Холодное водоснабжение </t>
  </si>
  <si>
    <t>Адрес:Красноармейский пр.,38</t>
  </si>
  <si>
    <t xml:space="preserve"> - по прочим услугам</t>
  </si>
  <si>
    <t>ТО наружных сетей</t>
  </si>
  <si>
    <t>ТО слаботочных систем (домофон, охр.сигн. и др.)</t>
  </si>
  <si>
    <t>Уборщица л/к</t>
  </si>
  <si>
    <t>Услуги консьержа</t>
  </si>
  <si>
    <t>Уборка МОП</t>
  </si>
  <si>
    <t>Обслуживание ЛДС</t>
  </si>
  <si>
    <t>Организация работы с жителями</t>
  </si>
  <si>
    <t>Уборщица</t>
  </si>
  <si>
    <t xml:space="preserve">Уборщица </t>
  </si>
  <si>
    <t xml:space="preserve"> -по прочим услугам</t>
  </si>
  <si>
    <t>ТО Видеосвязи</t>
  </si>
  <si>
    <t>Разовая корректировка</t>
  </si>
  <si>
    <t>Начисления и оплата по коммунальным и жилищным платежам за 2016 год с задолженностью  по ООО УК Платоновский лес</t>
  </si>
  <si>
    <t>Задолженность на 01.01.2016 г.*</t>
  </si>
  <si>
    <t>Начисления 2016 г.</t>
  </si>
  <si>
    <t>Оплата 2016 г.</t>
  </si>
  <si>
    <t>Общая задолженность на 01.01.2017 г.</t>
  </si>
  <si>
    <t>Аренда оборудования,установка шлакбаума</t>
  </si>
  <si>
    <t>Электроэнергия для подогрева х/воды и отопления</t>
  </si>
  <si>
    <t>Установка шлакбаума,видеокакмер</t>
  </si>
  <si>
    <t>Перерасчет за электроэнергию для отопления и гор.воды</t>
  </si>
  <si>
    <t>Перерасчет за электроэнергию  за МОП</t>
  </si>
  <si>
    <t>Общая задолженность</t>
  </si>
  <si>
    <t xml:space="preserve">ИТОГОВАЯ задолженность </t>
  </si>
  <si>
    <t>* просроченная задолженность с учетом текущей задолженности</t>
  </si>
  <si>
    <t>Содержание ОД имущества - электроэнергия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</si>
</sst>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\ _₽"/>
  </numFmts>
  <fonts count="45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6100"/>
      <name val="Calibri"/>
      <family val="2"/>
    </font>
    <font>
      <b/>
      <sz val="14"/>
      <color rgb="FF9C0006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right" vertical="top"/>
    </xf>
    <xf numFmtId="43" fontId="2" fillId="0" borderId="10" xfId="0" applyNumberFormat="1" applyFont="1" applyBorder="1" applyAlignment="1">
      <alignment horizontal="center" vertical="top"/>
    </xf>
    <xf numFmtId="43" fontId="2" fillId="0" borderId="10" xfId="0" applyNumberFormat="1" applyFont="1" applyBorder="1" applyAlignment="1">
      <alignment horizontal="left" vertical="top"/>
    </xf>
    <xf numFmtId="43" fontId="2" fillId="0" borderId="10" xfId="0" applyNumberFormat="1" applyFont="1" applyBorder="1" applyAlignment="1">
      <alignment vertical="top"/>
    </xf>
    <xf numFmtId="43" fontId="2" fillId="33" borderId="10" xfId="0" applyNumberFormat="1" applyFont="1" applyFill="1" applyBorder="1" applyAlignment="1">
      <alignment horizontal="left" vertical="top"/>
    </xf>
    <xf numFmtId="43" fontId="2" fillId="0" borderId="10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horizontal="left" vertical="top" wrapText="1" indent="2"/>
    </xf>
    <xf numFmtId="43" fontId="1" fillId="0" borderId="10" xfId="0" applyNumberFormat="1" applyFont="1" applyBorder="1" applyAlignment="1">
      <alignment horizontal="right" vertical="top"/>
    </xf>
    <xf numFmtId="43" fontId="1" fillId="33" borderId="11" xfId="0" applyNumberFormat="1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left" vertical="top" wrapText="1" indent="2"/>
    </xf>
    <xf numFmtId="43" fontId="2" fillId="33" borderId="10" xfId="0" applyNumberFormat="1" applyFont="1" applyFill="1" applyBorder="1" applyAlignment="1">
      <alignment horizontal="left" vertical="top" wrapText="1" indent="2"/>
    </xf>
    <xf numFmtId="43" fontId="1" fillId="33" borderId="10" xfId="0" applyNumberFormat="1" applyFont="1" applyFill="1" applyBorder="1" applyAlignment="1">
      <alignment horizontal="left" vertical="top" wrapText="1" indent="2"/>
    </xf>
    <xf numFmtId="43" fontId="2" fillId="34" borderId="10" xfId="0" applyNumberFormat="1" applyFont="1" applyFill="1" applyBorder="1" applyAlignment="1">
      <alignment horizontal="left" vertical="top"/>
    </xf>
    <xf numFmtId="43" fontId="2" fillId="34" borderId="10" xfId="0" applyNumberFormat="1" applyFont="1" applyFill="1" applyBorder="1" applyAlignment="1">
      <alignment horizontal="right" vertical="top"/>
    </xf>
    <xf numFmtId="43" fontId="2" fillId="35" borderId="10" xfId="0" applyNumberFormat="1" applyFont="1" applyFill="1" applyBorder="1" applyAlignment="1">
      <alignment horizontal="right" vertical="top"/>
    </xf>
    <xf numFmtId="43" fontId="2" fillId="0" borderId="0" xfId="0" applyNumberFormat="1" applyFont="1" applyAlignment="1">
      <alignment horizontal="left"/>
    </xf>
    <xf numFmtId="43" fontId="2" fillId="36" borderId="0" xfId="0" applyNumberFormat="1" applyFont="1" applyFill="1" applyBorder="1" applyAlignment="1">
      <alignment horizontal="right" vertical="top"/>
    </xf>
    <xf numFmtId="43" fontId="2" fillId="0" borderId="10" xfId="0" applyNumberFormat="1" applyFont="1" applyBorder="1" applyAlignment="1">
      <alignment vertical="top" wrapText="1"/>
    </xf>
    <xf numFmtId="43" fontId="2" fillId="0" borderId="10" xfId="0" applyNumberFormat="1" applyFont="1" applyBorder="1" applyAlignment="1">
      <alignment horizontal="left" vertical="top" wrapText="1"/>
    </xf>
    <xf numFmtId="43" fontId="1" fillId="0" borderId="10" xfId="0" applyNumberFormat="1" applyFont="1" applyBorder="1" applyAlignment="1">
      <alignment horizontal="left" vertical="top" wrapText="1"/>
    </xf>
    <xf numFmtId="43" fontId="1" fillId="0" borderId="10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 indent="2"/>
    </xf>
    <xf numFmtId="43" fontId="1" fillId="0" borderId="0" xfId="0" applyNumberFormat="1" applyFont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left" vertical="top" wrapText="1" indent="2"/>
    </xf>
    <xf numFmtId="43" fontId="2" fillId="0" borderId="10" xfId="0" applyNumberFormat="1" applyFont="1" applyBorder="1" applyAlignment="1">
      <alignment horizontal="left" vertical="top"/>
    </xf>
    <xf numFmtId="43" fontId="2" fillId="0" borderId="10" xfId="0" applyNumberFormat="1" applyFont="1" applyBorder="1" applyAlignment="1">
      <alignment vertical="top" wrapText="1"/>
    </xf>
    <xf numFmtId="43" fontId="1" fillId="0" borderId="12" xfId="0" applyNumberFormat="1" applyFont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/>
    </xf>
    <xf numFmtId="43" fontId="2" fillId="0" borderId="13" xfId="0" applyNumberFormat="1" applyFont="1" applyBorder="1" applyAlignment="1">
      <alignment vertical="top"/>
    </xf>
    <xf numFmtId="43" fontId="1" fillId="0" borderId="13" xfId="0" applyNumberFormat="1" applyFont="1" applyBorder="1" applyAlignment="1">
      <alignment vertical="top"/>
    </xf>
    <xf numFmtId="43" fontId="1" fillId="0" borderId="12" xfId="0" applyNumberFormat="1" applyFont="1" applyBorder="1" applyAlignment="1">
      <alignment horizontal="left" vertical="top" wrapText="1"/>
    </xf>
    <xf numFmtId="43" fontId="1" fillId="33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left" vertical="top"/>
    </xf>
    <xf numFmtId="43" fontId="1" fillId="0" borderId="13" xfId="0" applyNumberFormat="1" applyFont="1" applyBorder="1" applyAlignment="1">
      <alignment horizontal="left" vertical="top" wrapText="1" indent="2"/>
    </xf>
    <xf numFmtId="43" fontId="42" fillId="32" borderId="11" xfId="60" applyNumberFormat="1" applyFont="1" applyBorder="1" applyAlignment="1">
      <alignment horizontal="left" vertical="top" wrapText="1"/>
    </xf>
    <xf numFmtId="43" fontId="42" fillId="32" borderId="10" xfId="60" applyNumberFormat="1" applyFont="1" applyBorder="1" applyAlignment="1">
      <alignment horizontal="left" vertical="top" wrapText="1"/>
    </xf>
    <xf numFmtId="43" fontId="42" fillId="32" borderId="10" xfId="60" applyNumberFormat="1" applyFont="1" applyBorder="1" applyAlignment="1">
      <alignment horizontal="left" vertical="top" wrapText="1" indent="2"/>
    </xf>
    <xf numFmtId="43" fontId="1" fillId="0" borderId="12" xfId="0" applyNumberFormat="1" applyFont="1" applyBorder="1" applyAlignment="1">
      <alignment horizontal="right" vertical="top"/>
    </xf>
    <xf numFmtId="43" fontId="1" fillId="0" borderId="10" xfId="0" applyNumberFormat="1" applyFont="1" applyBorder="1" applyAlignment="1">
      <alignment horizontal="left" vertical="top"/>
    </xf>
    <xf numFmtId="43" fontId="43" fillId="30" borderId="10" xfId="52" applyNumberFormat="1" applyFont="1" applyBorder="1" applyAlignment="1">
      <alignment horizontal="left"/>
    </xf>
    <xf numFmtId="43" fontId="2" fillId="0" borderId="11" xfId="0" applyNumberFormat="1" applyFont="1" applyBorder="1" applyAlignment="1">
      <alignment horizontal="left" vertical="top" wrapText="1"/>
    </xf>
    <xf numFmtId="43" fontId="1" fillId="0" borderId="12" xfId="0" applyNumberFormat="1" applyFont="1" applyBorder="1" applyAlignment="1">
      <alignment vertical="top"/>
    </xf>
    <xf numFmtId="43" fontId="2" fillId="0" borderId="10" xfId="0" applyNumberFormat="1" applyFont="1" applyBorder="1" applyAlignment="1">
      <alignment horizontal="left" vertical="top" wrapText="1"/>
    </xf>
    <xf numFmtId="43" fontId="2" fillId="0" borderId="11" xfId="0" applyNumberFormat="1" applyFont="1" applyBorder="1" applyAlignment="1">
      <alignment vertical="top" wrapText="1"/>
    </xf>
    <xf numFmtId="43" fontId="2" fillId="0" borderId="11" xfId="0" applyNumberFormat="1" applyFont="1" applyBorder="1" applyAlignment="1">
      <alignment horizontal="left" vertical="top" wrapText="1"/>
    </xf>
    <xf numFmtId="43" fontId="2" fillId="33" borderId="0" xfId="0" applyNumberFormat="1" applyFont="1" applyFill="1" applyBorder="1" applyAlignment="1">
      <alignment horizontal="right" vertical="top"/>
    </xf>
    <xf numFmtId="43" fontId="43" fillId="33" borderId="11" xfId="52" applyNumberFormat="1" applyFont="1" applyFill="1" applyBorder="1" applyAlignment="1">
      <alignment horizontal="left" vertical="top" wrapText="1"/>
    </xf>
    <xf numFmtId="43" fontId="43" fillId="33" borderId="10" xfId="52" applyNumberFormat="1" applyFont="1" applyFill="1" applyBorder="1" applyAlignment="1">
      <alignment horizontal="left" vertical="top" wrapText="1" indent="2"/>
    </xf>
    <xf numFmtId="43" fontId="43" fillId="33" borderId="10" xfId="52" applyNumberFormat="1" applyFont="1" applyFill="1" applyBorder="1" applyAlignment="1">
      <alignment horizontal="left" vertical="top" wrapText="1"/>
    </xf>
    <xf numFmtId="43" fontId="43" fillId="33" borderId="10" xfId="52" applyNumberFormat="1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37" fillId="30" borderId="10" xfId="52" applyNumberFormat="1" applyBorder="1" applyAlignment="1">
      <alignment horizontal="left" vertical="top" wrapText="1" indent="2"/>
    </xf>
    <xf numFmtId="0" fontId="44" fillId="0" borderId="0" xfId="0" applyFont="1" applyAlignment="1">
      <alignment/>
    </xf>
    <xf numFmtId="0" fontId="3" fillId="0" borderId="14" xfId="0" applyNumberFormat="1" applyFont="1" applyBorder="1" applyAlignment="1">
      <alignment horizontal="center" vertical="top" wrapText="1"/>
    </xf>
    <xf numFmtId="43" fontId="1" fillId="33" borderId="11" xfId="0" applyNumberFormat="1" applyFont="1" applyFill="1" applyBorder="1" applyAlignment="1">
      <alignment horizontal="center" vertical="top" wrapText="1"/>
    </xf>
    <xf numFmtId="43" fontId="1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429"/>
  <sheetViews>
    <sheetView tabSelected="1" workbookViewId="0" topLeftCell="A293">
      <selection activeCell="R290" sqref="R290"/>
    </sheetView>
  </sheetViews>
  <sheetFormatPr defaultColWidth="10.66015625" defaultRowHeight="11.25" outlineLevelRow="1"/>
  <cols>
    <col min="1" max="1" width="47.66015625" style="1" customWidth="1"/>
    <col min="2" max="2" width="26" style="1" customWidth="1"/>
    <col min="3" max="3" width="29.33203125" style="1" customWidth="1"/>
    <col min="4" max="4" width="28.16015625" style="1" customWidth="1"/>
    <col min="5" max="5" width="28.66015625" style="1" customWidth="1"/>
    <col min="6" max="6" width="26.33203125" style="1" customWidth="1"/>
    <col min="7" max="7" width="27.5" style="1" hidden="1" customWidth="1"/>
    <col min="8" max="8" width="14.66015625" style="0" hidden="1" customWidth="1"/>
    <col min="9" max="9" width="15.66015625" style="0" hidden="1" customWidth="1"/>
    <col min="10" max="10" width="15.5" style="0" hidden="1" customWidth="1"/>
    <col min="11" max="11" width="14.66015625" style="0" hidden="1" customWidth="1"/>
    <col min="12" max="13" width="13" style="0" hidden="1" customWidth="1"/>
    <col min="14" max="14" width="16.66015625" style="0" hidden="1" customWidth="1"/>
    <col min="15" max="15" width="0" style="0" hidden="1" customWidth="1"/>
    <col min="16" max="16" width="13" style="0" bestFit="1" customWidth="1"/>
  </cols>
  <sheetData>
    <row r="1" s="1" customFormat="1" ht="9.75" customHeight="1"/>
    <row r="2" spans="1:7" ht="45.75" customHeight="1">
      <c r="A2" s="71" t="s">
        <v>71</v>
      </c>
      <c r="B2" s="71"/>
      <c r="C2" s="71"/>
      <c r="D2" s="71"/>
      <c r="E2" s="71"/>
      <c r="F2" s="71"/>
      <c r="G2" s="3"/>
    </row>
    <row r="3" spans="1:7" ht="62.25" customHeight="1">
      <c r="A3" s="37" t="s">
        <v>25</v>
      </c>
      <c r="B3" s="37" t="s">
        <v>72</v>
      </c>
      <c r="C3" s="37" t="s">
        <v>73</v>
      </c>
      <c r="D3" s="38" t="s">
        <v>74</v>
      </c>
      <c r="E3" s="39" t="s">
        <v>28</v>
      </c>
      <c r="F3" s="39" t="s">
        <v>75</v>
      </c>
      <c r="G3" s="44" t="s">
        <v>26</v>
      </c>
    </row>
    <row r="4" spans="1:7" ht="37.5" customHeight="1" outlineLevel="1">
      <c r="A4" s="35" t="s">
        <v>38</v>
      </c>
      <c r="B4" s="4"/>
      <c r="C4" s="5"/>
      <c r="D4" s="5"/>
      <c r="E4" s="5"/>
      <c r="F4" s="5"/>
      <c r="G4" s="45"/>
    </row>
    <row r="5" spans="1:7" ht="26.25" customHeight="1" outlineLevel="1">
      <c r="A5" s="29" t="s">
        <v>0</v>
      </c>
      <c r="B5" s="29">
        <v>114911.54</v>
      </c>
      <c r="C5" s="15">
        <v>1009287.81</v>
      </c>
      <c r="D5" s="13">
        <v>962614.06</v>
      </c>
      <c r="E5" s="13">
        <f>C5-D5</f>
        <v>46673.75</v>
      </c>
      <c r="F5" s="13">
        <f>E5+B5</f>
        <v>161585.28999999998</v>
      </c>
      <c r="G5" s="46">
        <f>D5</f>
        <v>962614.06</v>
      </c>
    </row>
    <row r="6" spans="1:7" ht="31.5" customHeight="1" outlineLevel="1">
      <c r="A6" s="29" t="s">
        <v>27</v>
      </c>
      <c r="B6" s="29"/>
      <c r="C6" s="15">
        <v>70105.32</v>
      </c>
      <c r="D6" s="13">
        <v>62363.54</v>
      </c>
      <c r="E6" s="13">
        <f>C6-D6</f>
        <v>7741.780000000006</v>
      </c>
      <c r="F6" s="13">
        <f>E6+B6</f>
        <v>7741.780000000006</v>
      </c>
      <c r="G6" s="46" t="s">
        <v>23</v>
      </c>
    </row>
    <row r="7" spans="1:9" ht="31.5" customHeight="1" outlineLevel="1">
      <c r="A7" s="30" t="s">
        <v>29</v>
      </c>
      <c r="B7" s="30">
        <f>B5+B6</f>
        <v>114911.54</v>
      </c>
      <c r="C7" s="30">
        <f>C5+C6</f>
        <v>1079393.1300000001</v>
      </c>
      <c r="D7" s="30">
        <f>D5+D6</f>
        <v>1024977.6000000001</v>
      </c>
      <c r="E7" s="30">
        <f>E5+E6</f>
        <v>54415.530000000006</v>
      </c>
      <c r="F7" s="30">
        <f>F5+F6</f>
        <v>169327.06999999998</v>
      </c>
      <c r="G7" s="47"/>
      <c r="H7" s="68" t="e">
        <f>F7+F29+F51+#REF!+F67+F89+F107+F129+#REF!+#REF!+F152+F182+F204+F226+F244+F266+F284</f>
        <v>#REF!</v>
      </c>
      <c r="I7" s="68">
        <f>F7</f>
        <v>169327.06999999998</v>
      </c>
    </row>
    <row r="8" spans="1:7" ht="26.25" customHeight="1" outlineLevel="1">
      <c r="A8" s="29" t="s">
        <v>2</v>
      </c>
      <c r="B8" s="29">
        <f>566333.02+3066.92</f>
        <v>569399.9400000001</v>
      </c>
      <c r="C8" s="15">
        <v>4649423.32</v>
      </c>
      <c r="D8" s="13">
        <v>4500723.8</v>
      </c>
      <c r="E8" s="13">
        <f aca="true" t="shared" si="0" ref="E8:E21">C8-D8</f>
        <v>148699.52000000048</v>
      </c>
      <c r="F8" s="13">
        <f>E8+B8</f>
        <v>718099.4600000005</v>
      </c>
      <c r="G8" s="46">
        <f>D8</f>
        <v>4500723.8</v>
      </c>
    </row>
    <row r="9" spans="1:7" ht="39.75" customHeight="1" outlineLevel="1">
      <c r="A9" s="29" t="s">
        <v>30</v>
      </c>
      <c r="B9" s="29"/>
      <c r="C9" s="15">
        <v>360385.42</v>
      </c>
      <c r="D9" s="13">
        <v>322559.11</v>
      </c>
      <c r="E9" s="13">
        <f t="shared" si="0"/>
        <v>37826.31</v>
      </c>
      <c r="F9" s="13">
        <f>E9+B9</f>
        <v>37826.31</v>
      </c>
      <c r="G9" s="46"/>
    </row>
    <row r="10" spans="1:10" ht="41.25" customHeight="1" outlineLevel="1">
      <c r="A10" s="30" t="s">
        <v>31</v>
      </c>
      <c r="B10" s="30">
        <f>B8+B9</f>
        <v>569399.9400000001</v>
      </c>
      <c r="C10" s="30">
        <f>C8+C9</f>
        <v>5009808.74</v>
      </c>
      <c r="D10" s="30">
        <f>D8+D9</f>
        <v>4823282.91</v>
      </c>
      <c r="E10" s="30">
        <f>E8+E9</f>
        <v>186525.83000000048</v>
      </c>
      <c r="F10" s="30">
        <f>F8+F9</f>
        <v>755925.7700000005</v>
      </c>
      <c r="G10" s="47"/>
      <c r="H10" s="68" t="e">
        <f>F10+F30+#REF!+F68+F92+F108+F132+F154+F185+F208+F270</f>
        <v>#REF!</v>
      </c>
      <c r="J10" s="68">
        <f>F10</f>
        <v>755925.7700000005</v>
      </c>
    </row>
    <row r="11" spans="1:7" ht="26.25" customHeight="1" outlineLevel="1">
      <c r="A11" s="29" t="s">
        <v>4</v>
      </c>
      <c r="B11" s="29">
        <v>1532634.78</v>
      </c>
      <c r="C11" s="15">
        <v>13656389.22</v>
      </c>
      <c r="D11" s="13">
        <v>13237866.74</v>
      </c>
      <c r="E11" s="13">
        <f t="shared" si="0"/>
        <v>418522.48000000045</v>
      </c>
      <c r="F11" s="13">
        <f>E11+B11</f>
        <v>1951157.2600000005</v>
      </c>
      <c r="G11" s="46">
        <f>D11</f>
        <v>13237866.74</v>
      </c>
    </row>
    <row r="12" spans="1:7" ht="26.25" customHeight="1" outlineLevel="1">
      <c r="A12" s="29" t="s">
        <v>5</v>
      </c>
      <c r="B12" s="29"/>
      <c r="C12" s="15">
        <v>18577.76</v>
      </c>
      <c r="D12" s="13"/>
      <c r="E12" s="13">
        <f t="shared" si="0"/>
        <v>18577.76</v>
      </c>
      <c r="F12" s="13">
        <f>E12+B12</f>
        <v>18577.76</v>
      </c>
      <c r="G12" s="46"/>
    </row>
    <row r="13" spans="1:11" ht="26.25" customHeight="1" outlineLevel="1">
      <c r="A13" s="30" t="s">
        <v>32</v>
      </c>
      <c r="B13" s="30">
        <f>B11+B12</f>
        <v>1532634.78</v>
      </c>
      <c r="C13" s="30">
        <f>C11+C12</f>
        <v>13674966.98</v>
      </c>
      <c r="D13" s="30">
        <f>D11+D12</f>
        <v>13237866.74</v>
      </c>
      <c r="E13" s="30">
        <f>E11+E12</f>
        <v>437100.24000000046</v>
      </c>
      <c r="F13" s="30">
        <f>F11+F12</f>
        <v>1969735.0200000005</v>
      </c>
      <c r="G13" s="47"/>
      <c r="H13" s="68" t="e">
        <f>F13+F31+F52+#REF!+F69+F109+F155+F188+F209+F227+F247+F267+F287</f>
        <v>#REF!</v>
      </c>
      <c r="K13" s="68">
        <f>F13</f>
        <v>1969735.0200000005</v>
      </c>
    </row>
    <row r="14" spans="1:7" ht="26.25" customHeight="1" outlineLevel="1">
      <c r="A14" s="30" t="s">
        <v>7</v>
      </c>
      <c r="B14" s="30">
        <f>1110076.34+3066.92</f>
        <v>1113143.26</v>
      </c>
      <c r="C14" s="31">
        <f>9948.91+8810011.99</f>
        <v>8819960.9</v>
      </c>
      <c r="D14" s="32">
        <v>8992663.27</v>
      </c>
      <c r="E14" s="32">
        <f>C14-D14</f>
        <v>-172702.36999999918</v>
      </c>
      <c r="F14" s="32">
        <f>E14+B14</f>
        <v>940440.8900000008</v>
      </c>
      <c r="G14" s="47">
        <f>D14</f>
        <v>8992663.27</v>
      </c>
    </row>
    <row r="15" spans="1:7" ht="26.25" customHeight="1" outlineLevel="1">
      <c r="A15" s="29" t="s">
        <v>8</v>
      </c>
      <c r="B15" s="29">
        <v>141095.05</v>
      </c>
      <c r="C15" s="15">
        <v>1276674.59</v>
      </c>
      <c r="D15" s="13">
        <v>1219131.91</v>
      </c>
      <c r="E15" s="13">
        <f t="shared" si="0"/>
        <v>57542.68000000017</v>
      </c>
      <c r="F15" s="13">
        <f>E15+B15</f>
        <v>198637.73000000016</v>
      </c>
      <c r="G15" s="46">
        <f>D15</f>
        <v>1219131.91</v>
      </c>
    </row>
    <row r="16" spans="1:7" ht="26.25" customHeight="1" outlineLevel="1">
      <c r="A16" s="29" t="s">
        <v>9</v>
      </c>
      <c r="B16" s="29">
        <v>5580.37</v>
      </c>
      <c r="C16" s="15">
        <v>56042.42</v>
      </c>
      <c r="D16" s="13">
        <v>49966.46</v>
      </c>
      <c r="E16" s="13">
        <f t="shared" si="0"/>
        <v>6075.959999999999</v>
      </c>
      <c r="F16" s="13">
        <f>E16+B16</f>
        <v>11656.329999999998</v>
      </c>
      <c r="G16" s="46">
        <f>D16</f>
        <v>49966.46</v>
      </c>
    </row>
    <row r="17" spans="1:7" ht="40.5" customHeight="1" outlineLevel="1">
      <c r="A17" s="29" t="s">
        <v>39</v>
      </c>
      <c r="B17" s="29"/>
      <c r="C17" s="15">
        <v>81467.11</v>
      </c>
      <c r="D17" s="15">
        <v>73152.82</v>
      </c>
      <c r="E17" s="13">
        <f t="shared" si="0"/>
        <v>8314.289999999994</v>
      </c>
      <c r="F17" s="13">
        <f>E17+B17</f>
        <v>8314.289999999994</v>
      </c>
      <c r="G17" s="46"/>
    </row>
    <row r="18" spans="1:12" ht="40.5" customHeight="1" outlineLevel="1">
      <c r="A18" s="30" t="s">
        <v>33</v>
      </c>
      <c r="B18" s="30">
        <f>B15+B16+B17</f>
        <v>146675.41999999998</v>
      </c>
      <c r="C18" s="30">
        <f>C15+C16+C17</f>
        <v>1414184.12</v>
      </c>
      <c r="D18" s="30">
        <f>D15+D16+D17</f>
        <v>1342251.19</v>
      </c>
      <c r="E18" s="30">
        <f>E15+E16+E17</f>
        <v>71932.93000000017</v>
      </c>
      <c r="F18" s="30">
        <f>F15+F16+F17</f>
        <v>218608.35000000015</v>
      </c>
      <c r="G18" s="47"/>
      <c r="H18" s="68" t="e">
        <f>F18+F33+F57+#REF!+F71+F97+F113+F137+#REF!+#REF!+#REF!+#REF!+F167+F193+F214+F232+F253+F275+F292</f>
        <v>#REF!</v>
      </c>
      <c r="L18" s="68">
        <f>F18</f>
        <v>218608.35000000015</v>
      </c>
    </row>
    <row r="19" spans="1:7" ht="40.5" customHeight="1" hidden="1" outlineLevel="1">
      <c r="A19" s="58" t="s">
        <v>65</v>
      </c>
      <c r="B19" s="30"/>
      <c r="C19" s="60"/>
      <c r="D19" s="60"/>
      <c r="E19" s="13"/>
      <c r="F19" s="13"/>
      <c r="G19" s="59"/>
    </row>
    <row r="20" spans="1:7" ht="40.5" customHeight="1" outlineLevel="1">
      <c r="A20" s="58" t="s">
        <v>6</v>
      </c>
      <c r="B20" s="30"/>
      <c r="C20" s="15">
        <v>288274.08</v>
      </c>
      <c r="D20" s="13">
        <v>57113.95</v>
      </c>
      <c r="E20" s="13">
        <f t="shared" si="0"/>
        <v>231160.13</v>
      </c>
      <c r="F20" s="13">
        <f>E20+B20</f>
        <v>231160.13</v>
      </c>
      <c r="G20" s="59"/>
    </row>
    <row r="21" spans="1:7" ht="40.5" customHeight="1" outlineLevel="1">
      <c r="A21" s="60" t="s">
        <v>67</v>
      </c>
      <c r="B21" s="30"/>
      <c r="C21" s="15">
        <v>160622.39</v>
      </c>
      <c r="D21" s="13">
        <v>152295.45</v>
      </c>
      <c r="E21" s="13">
        <f t="shared" si="0"/>
        <v>8326.940000000002</v>
      </c>
      <c r="F21" s="13">
        <f>E21+B21</f>
        <v>8326.940000000002</v>
      </c>
      <c r="G21" s="59"/>
    </row>
    <row r="22" spans="1:7" ht="40.5" customHeight="1" outlineLevel="1">
      <c r="A22" s="53" t="s">
        <v>75</v>
      </c>
      <c r="B22" s="53">
        <f>B7+B10+B13+B14+B18+B19+B20+B21</f>
        <v>3476764.9400000004</v>
      </c>
      <c r="C22" s="53">
        <f>C7+C10+C13+C14+C18+C19+C20+C21</f>
        <v>30447210.34</v>
      </c>
      <c r="D22" s="53">
        <f>D7+D10+D13+D14+D18+D19+D20+D21</f>
        <v>29630451.11</v>
      </c>
      <c r="E22" s="53">
        <f>E7+E10+E13+E14+E18+E19+E20+E21</f>
        <v>816759.2300000018</v>
      </c>
      <c r="F22" s="53">
        <f>F7+F10+F13+F14+F18+F19+F20+F21</f>
        <v>4293524.170000003</v>
      </c>
      <c r="G22" s="48">
        <f>G7+G10+G13+G14+G18</f>
        <v>8992663.27</v>
      </c>
    </row>
    <row r="23" spans="1:7" ht="16.5" customHeight="1" outlineLevel="1">
      <c r="A23" s="53" t="s">
        <v>34</v>
      </c>
      <c r="B23" s="53"/>
      <c r="C23" s="53"/>
      <c r="D23" s="53"/>
      <c r="E23" s="53"/>
      <c r="F23" s="53"/>
      <c r="G23" s="47"/>
    </row>
    <row r="24" spans="1:7" ht="30.75" customHeight="1" outlineLevel="1">
      <c r="A24" s="53" t="s">
        <v>35</v>
      </c>
      <c r="B24" s="53">
        <f aca="true" t="shared" si="1" ref="B24:G24">B14</f>
        <v>1113143.26</v>
      </c>
      <c r="C24" s="53">
        <f t="shared" si="1"/>
        <v>8819960.9</v>
      </c>
      <c r="D24" s="53">
        <f t="shared" si="1"/>
        <v>8992663.27</v>
      </c>
      <c r="E24" s="53">
        <f t="shared" si="1"/>
        <v>-172702.36999999918</v>
      </c>
      <c r="F24" s="53">
        <f t="shared" si="1"/>
        <v>940440.8900000008</v>
      </c>
      <c r="G24" s="48">
        <f t="shared" si="1"/>
        <v>8992663.27</v>
      </c>
    </row>
    <row r="25" spans="1:7" ht="27.75" customHeight="1" outlineLevel="1">
      <c r="A25" s="53" t="s">
        <v>36</v>
      </c>
      <c r="B25" s="53">
        <f aca="true" t="shared" si="2" ref="B25:G25">B7+B10+B13+B18</f>
        <v>2363621.68</v>
      </c>
      <c r="C25" s="53">
        <f t="shared" si="2"/>
        <v>21178352.970000003</v>
      </c>
      <c r="D25" s="53">
        <f t="shared" si="2"/>
        <v>20428378.44</v>
      </c>
      <c r="E25" s="53">
        <f t="shared" si="2"/>
        <v>749974.5300000011</v>
      </c>
      <c r="F25" s="53">
        <f t="shared" si="2"/>
        <v>3113596.210000001</v>
      </c>
      <c r="G25" s="48">
        <f t="shared" si="2"/>
        <v>0</v>
      </c>
    </row>
    <row r="26" spans="1:7" ht="30" customHeight="1" outlineLevel="1">
      <c r="A26" s="53" t="s">
        <v>58</v>
      </c>
      <c r="B26" s="53">
        <f>B19+B20+B21</f>
        <v>0</v>
      </c>
      <c r="C26" s="53">
        <f>C19+C20+C21</f>
        <v>448896.47000000003</v>
      </c>
      <c r="D26" s="53">
        <f>D19+D20+D21</f>
        <v>209409.40000000002</v>
      </c>
      <c r="E26" s="53">
        <f>E19+E20+E21</f>
        <v>239487.07</v>
      </c>
      <c r="F26" s="53">
        <f>F19+F20+F21</f>
        <v>239487.07</v>
      </c>
      <c r="G26" s="48"/>
    </row>
    <row r="27" spans="1:7" ht="63" customHeight="1">
      <c r="A27" s="37" t="s">
        <v>25</v>
      </c>
      <c r="B27" s="37" t="s">
        <v>72</v>
      </c>
      <c r="C27" s="37" t="s">
        <v>73</v>
      </c>
      <c r="D27" s="38" t="s">
        <v>74</v>
      </c>
      <c r="E27" s="39" t="s">
        <v>28</v>
      </c>
      <c r="F27" s="39" t="s">
        <v>75</v>
      </c>
      <c r="G27" s="49" t="s">
        <v>23</v>
      </c>
    </row>
    <row r="28" spans="1:7" ht="26.25" customHeight="1" outlineLevel="1">
      <c r="A28" s="16" t="s">
        <v>37</v>
      </c>
      <c r="B28" s="40"/>
      <c r="C28" s="41"/>
      <c r="D28" s="41"/>
      <c r="E28" s="41"/>
      <c r="F28" s="41"/>
      <c r="G28" s="50"/>
    </row>
    <row r="29" spans="1:9" ht="26.25" customHeight="1" outlineLevel="1">
      <c r="A29" s="42" t="s">
        <v>0</v>
      </c>
      <c r="B29" s="42">
        <v>51991.98</v>
      </c>
      <c r="C29" s="34">
        <v>322834.34</v>
      </c>
      <c r="D29" s="34">
        <v>330325.73</v>
      </c>
      <c r="E29" s="33">
        <f aca="true" t="shared" si="3" ref="E29:E41">C29-D29</f>
        <v>-7491.389999999956</v>
      </c>
      <c r="F29" s="33">
        <f aca="true" t="shared" si="4" ref="F29:F41">E29+B29</f>
        <v>44500.59000000005</v>
      </c>
      <c r="G29" s="46">
        <f>D29</f>
        <v>330325.73</v>
      </c>
      <c r="I29" s="68">
        <f>F29</f>
        <v>44500.59000000005</v>
      </c>
    </row>
    <row r="30" spans="1:10" ht="26.25" customHeight="1" outlineLevel="1">
      <c r="A30" s="42" t="s">
        <v>2</v>
      </c>
      <c r="B30" s="42">
        <v>221899.69</v>
      </c>
      <c r="C30" s="34">
        <v>1232131.22</v>
      </c>
      <c r="D30" s="34">
        <v>1285839.4</v>
      </c>
      <c r="E30" s="33">
        <f t="shared" si="3"/>
        <v>-53708.179999999935</v>
      </c>
      <c r="F30" s="33">
        <f t="shared" si="4"/>
        <v>168191.51000000007</v>
      </c>
      <c r="G30" s="46">
        <f>D30</f>
        <v>1285839.4</v>
      </c>
      <c r="J30" s="68">
        <f>F30</f>
        <v>168191.51000000007</v>
      </c>
    </row>
    <row r="31" spans="1:11" ht="26.25" customHeight="1" outlineLevel="1">
      <c r="A31" s="42" t="s">
        <v>4</v>
      </c>
      <c r="B31" s="42">
        <v>1136425.48</v>
      </c>
      <c r="C31" s="34">
        <f>5745157.63-2966.66</f>
        <v>5742190.97</v>
      </c>
      <c r="D31" s="34">
        <v>5879381.47</v>
      </c>
      <c r="E31" s="33">
        <f t="shared" si="3"/>
        <v>-137190.5</v>
      </c>
      <c r="F31" s="33">
        <f t="shared" si="4"/>
        <v>999234.98</v>
      </c>
      <c r="G31" s="46">
        <f>D31</f>
        <v>5879381.47</v>
      </c>
      <c r="K31" s="68">
        <f>F31</f>
        <v>999234.98</v>
      </c>
    </row>
    <row r="32" spans="1:11" ht="26.25" customHeight="1" outlineLevel="1">
      <c r="A32" s="42" t="s">
        <v>7</v>
      </c>
      <c r="B32" s="42">
        <v>808949.88</v>
      </c>
      <c r="C32" s="34">
        <v>3887628.23</v>
      </c>
      <c r="D32" s="34">
        <v>3805145.96</v>
      </c>
      <c r="E32" s="33">
        <f t="shared" si="3"/>
        <v>82482.27000000002</v>
      </c>
      <c r="F32" s="33">
        <f t="shared" si="4"/>
        <v>891432.15</v>
      </c>
      <c r="G32" s="46">
        <f>D32</f>
        <v>3805145.96</v>
      </c>
      <c r="K32" s="68"/>
    </row>
    <row r="33" spans="1:12" ht="26.25" customHeight="1" outlineLevel="1">
      <c r="A33" s="42" t="s">
        <v>8</v>
      </c>
      <c r="B33" s="42"/>
      <c r="C33" s="34">
        <v>392483.96</v>
      </c>
      <c r="D33" s="34">
        <v>403614.52</v>
      </c>
      <c r="E33" s="33">
        <f t="shared" si="3"/>
        <v>-11130.559999999998</v>
      </c>
      <c r="F33" s="33">
        <f t="shared" si="4"/>
        <v>-11130.559999999998</v>
      </c>
      <c r="G33" s="46" t="s">
        <v>23</v>
      </c>
      <c r="L33" s="68">
        <f>F33</f>
        <v>-11130.559999999998</v>
      </c>
    </row>
    <row r="34" spans="1:13" ht="26.25" customHeight="1" outlineLevel="1">
      <c r="A34" s="42" t="s">
        <v>12</v>
      </c>
      <c r="B34" s="42">
        <f>333944.76-240.43</f>
        <v>333704.33</v>
      </c>
      <c r="C34" s="34">
        <f>1567846.72+355508.23+2819.48+38160.53</f>
        <v>1964334.96</v>
      </c>
      <c r="D34" s="34">
        <f>1617767+354521.86+34551.18+3036.05</f>
        <v>2009876.0899999999</v>
      </c>
      <c r="E34" s="33">
        <f t="shared" si="3"/>
        <v>-45541.12999999989</v>
      </c>
      <c r="F34" s="33">
        <f t="shared" si="4"/>
        <v>288163.2000000001</v>
      </c>
      <c r="G34" s="46">
        <f>D34</f>
        <v>2009876.0899999999</v>
      </c>
      <c r="H34" s="68">
        <f>F34+F72+F114+F141+F170</f>
        <v>753135.4499999998</v>
      </c>
      <c r="M34" s="68">
        <f>F34</f>
        <v>288163.2000000001</v>
      </c>
    </row>
    <row r="35" spans="1:7" ht="26.25" customHeight="1" outlineLevel="1">
      <c r="A35" s="42" t="s">
        <v>59</v>
      </c>
      <c r="B35" s="42"/>
      <c r="C35" s="15">
        <v>106135.32</v>
      </c>
      <c r="D35" s="15">
        <v>104089.78</v>
      </c>
      <c r="E35" s="33">
        <f t="shared" si="3"/>
        <v>2045.5400000000081</v>
      </c>
      <c r="F35" s="33">
        <f t="shared" si="4"/>
        <v>2045.5400000000081</v>
      </c>
      <c r="G35" s="46"/>
    </row>
    <row r="36" spans="1:7" ht="32.25" customHeight="1" outlineLevel="1">
      <c r="A36" s="28" t="s">
        <v>60</v>
      </c>
      <c r="B36" s="42"/>
      <c r="C36" s="15">
        <v>278153.31</v>
      </c>
      <c r="D36" s="15">
        <v>274308.28</v>
      </c>
      <c r="E36" s="33">
        <f t="shared" si="3"/>
        <v>3845.0299999999697</v>
      </c>
      <c r="F36" s="33">
        <f t="shared" si="4"/>
        <v>3845.0299999999697</v>
      </c>
      <c r="G36" s="46"/>
    </row>
    <row r="37" spans="1:7" ht="33" customHeight="1" outlineLevel="1">
      <c r="A37" s="28" t="s">
        <v>11</v>
      </c>
      <c r="B37" s="42"/>
      <c r="C37" s="15">
        <v>145726.88</v>
      </c>
      <c r="D37" s="15">
        <v>143580.86</v>
      </c>
      <c r="E37" s="33">
        <f t="shared" si="3"/>
        <v>2146.0200000000186</v>
      </c>
      <c r="F37" s="33">
        <f t="shared" si="4"/>
        <v>2146.0200000000186</v>
      </c>
      <c r="G37" s="46"/>
    </row>
    <row r="38" spans="1:7" ht="33" customHeight="1" outlineLevel="1">
      <c r="A38" s="28" t="s">
        <v>64</v>
      </c>
      <c r="B38" s="42"/>
      <c r="C38" s="15">
        <v>194718.15</v>
      </c>
      <c r="D38" s="15">
        <v>189650.89</v>
      </c>
      <c r="E38" s="33">
        <f t="shared" si="3"/>
        <v>5067.25999999998</v>
      </c>
      <c r="F38" s="33">
        <f t="shared" si="4"/>
        <v>5067.25999999998</v>
      </c>
      <c r="G38" s="46"/>
    </row>
    <row r="39" spans="1:7" ht="26.25" customHeight="1" outlineLevel="1">
      <c r="A39" s="28" t="s">
        <v>61</v>
      </c>
      <c r="B39" s="42"/>
      <c r="C39" s="15">
        <v>374889.92</v>
      </c>
      <c r="D39" s="15">
        <v>367535.49</v>
      </c>
      <c r="E39" s="33">
        <f t="shared" si="3"/>
        <v>7354.429999999993</v>
      </c>
      <c r="F39" s="33">
        <f t="shared" si="4"/>
        <v>7354.429999999993</v>
      </c>
      <c r="G39" s="46"/>
    </row>
    <row r="40" spans="1:7" ht="26.25" customHeight="1" outlineLevel="1">
      <c r="A40" s="28" t="s">
        <v>62</v>
      </c>
      <c r="B40" s="42"/>
      <c r="C40" s="15">
        <v>2003892.88</v>
      </c>
      <c r="D40" s="15">
        <v>1902955.64</v>
      </c>
      <c r="E40" s="33">
        <f t="shared" si="3"/>
        <v>100937.23999999999</v>
      </c>
      <c r="F40" s="33">
        <f t="shared" si="4"/>
        <v>100937.23999999999</v>
      </c>
      <c r="G40" s="46"/>
    </row>
    <row r="41" spans="1:7" ht="26.25" customHeight="1" outlineLevel="1">
      <c r="A41" s="28" t="s">
        <v>6</v>
      </c>
      <c r="B41" s="42"/>
      <c r="C41" s="15">
        <v>216785.68</v>
      </c>
      <c r="D41" s="15">
        <v>13713.35</v>
      </c>
      <c r="E41" s="33">
        <f t="shared" si="3"/>
        <v>203072.33</v>
      </c>
      <c r="F41" s="33">
        <f t="shared" si="4"/>
        <v>203072.33</v>
      </c>
      <c r="G41" s="46"/>
    </row>
    <row r="42" spans="1:7" ht="44.25" customHeight="1" outlineLevel="1">
      <c r="A42" s="53" t="s">
        <v>81</v>
      </c>
      <c r="B42" s="53">
        <f>B29+B30+B31+B32+B33+B34+B35+B36+B37+B39+B40+B41+B38</f>
        <v>2552971.36</v>
      </c>
      <c r="C42" s="53">
        <f>C29+C30+C31+C32+C33+C34+C35+C36+C37+C39+C40+C41+C38</f>
        <v>16861905.82</v>
      </c>
      <c r="D42" s="53">
        <f>D29+D30+D31+D32+D33+D34+D35+D36+D37+D39+D40+D41+D38</f>
        <v>16710017.459999997</v>
      </c>
      <c r="E42" s="53">
        <f>E29+E30+E31+E32+E33+E34+E35+E36+E37+E39+E40+E41+E38</f>
        <v>151888.3600000002</v>
      </c>
      <c r="F42" s="53">
        <f>F29+F30+F31+F32+F33+F34+F35+F36+F37+F39+F40+F41+F38</f>
        <v>2704859.7199999997</v>
      </c>
      <c r="G42" s="51">
        <f>SUM(G29:G34)</f>
        <v>13310568.649999999</v>
      </c>
    </row>
    <row r="43" spans="1:7" ht="26.25" customHeight="1" outlineLevel="1">
      <c r="A43" s="53" t="s">
        <v>34</v>
      </c>
      <c r="B43" s="53"/>
      <c r="C43" s="53"/>
      <c r="D43" s="53"/>
      <c r="E43" s="53"/>
      <c r="F43" s="53"/>
      <c r="G43" s="36"/>
    </row>
    <row r="44" spans="1:7" ht="26.25" customHeight="1" outlineLevel="1">
      <c r="A44" s="53" t="s">
        <v>35</v>
      </c>
      <c r="B44" s="53">
        <f>B32</f>
        <v>808949.88</v>
      </c>
      <c r="C44" s="53">
        <f>C32</f>
        <v>3887628.23</v>
      </c>
      <c r="D44" s="53">
        <f>D32</f>
        <v>3805145.96</v>
      </c>
      <c r="E44" s="53">
        <f>E32</f>
        <v>82482.27000000002</v>
      </c>
      <c r="F44" s="53">
        <f>F32</f>
        <v>891432.15</v>
      </c>
      <c r="G44" s="36"/>
    </row>
    <row r="45" spans="1:8" ht="26.25" customHeight="1" outlineLevel="1">
      <c r="A45" s="53" t="s">
        <v>36</v>
      </c>
      <c r="B45" s="53">
        <f aca="true" t="shared" si="5" ref="B45:H45">B29+B30+B31+B33+B34</f>
        <v>1744021.48</v>
      </c>
      <c r="C45" s="53">
        <f t="shared" si="5"/>
        <v>9653975.45</v>
      </c>
      <c r="D45" s="53">
        <f t="shared" si="5"/>
        <v>9909037.209999999</v>
      </c>
      <c r="E45" s="53">
        <f t="shared" si="5"/>
        <v>-255061.75999999978</v>
      </c>
      <c r="F45" s="53">
        <f t="shared" si="5"/>
        <v>1488959.7200000002</v>
      </c>
      <c r="G45" s="53" t="e">
        <f t="shared" si="5"/>
        <v>#VALUE!</v>
      </c>
      <c r="H45" s="53">
        <f t="shared" si="5"/>
        <v>753135.4499999998</v>
      </c>
    </row>
    <row r="46" spans="1:7" ht="26.25" customHeight="1" outlineLevel="1">
      <c r="A46" s="53" t="s">
        <v>58</v>
      </c>
      <c r="B46" s="53">
        <f>B35+B36+B37+B39+B40+B41+B38</f>
        <v>0</v>
      </c>
      <c r="C46" s="53">
        <f>C35+C36+C37+C39+C40+C41+C38</f>
        <v>3320302.1399999997</v>
      </c>
      <c r="D46" s="53">
        <f>D35+D36+D37+D39+D40+D41+D38</f>
        <v>2995834.29</v>
      </c>
      <c r="E46" s="53">
        <f>E35+E36+E37+E39+E40+E41+E38</f>
        <v>324467.85</v>
      </c>
      <c r="F46" s="53">
        <f>F35+F36+F37+F39+F40+F41+F38</f>
        <v>324467.85</v>
      </c>
      <c r="G46" s="53">
        <f>G35+G36+G37+G39+G40+G41</f>
        <v>0</v>
      </c>
    </row>
    <row r="47" spans="1:7" ht="58.5" customHeight="1">
      <c r="A47" s="37" t="s">
        <v>25</v>
      </c>
      <c r="B47" s="37" t="s">
        <v>72</v>
      </c>
      <c r="C47" s="37" t="s">
        <v>73</v>
      </c>
      <c r="D47" s="38" t="s">
        <v>74</v>
      </c>
      <c r="E47" s="39" t="s">
        <v>28</v>
      </c>
      <c r="F47" s="39" t="s">
        <v>75</v>
      </c>
      <c r="G47" s="49" t="s">
        <v>23</v>
      </c>
    </row>
    <row r="48" spans="1:7" ht="33" customHeight="1" outlineLevel="1">
      <c r="A48" s="16" t="s">
        <v>40</v>
      </c>
      <c r="B48" s="20"/>
      <c r="C48" s="12"/>
      <c r="D48" s="12"/>
      <c r="E48" s="13" t="s">
        <v>23</v>
      </c>
      <c r="F48" s="13"/>
      <c r="G48" s="46" t="s">
        <v>23</v>
      </c>
    </row>
    <row r="49" spans="1:7" ht="26.25" customHeight="1" outlineLevel="1">
      <c r="A49" s="29" t="s">
        <v>0</v>
      </c>
      <c r="B49" s="29">
        <v>6449.41</v>
      </c>
      <c r="C49" s="15">
        <v>31935.54</v>
      </c>
      <c r="D49" s="15">
        <v>38066.06</v>
      </c>
      <c r="E49" s="13">
        <f aca="true" t="shared" si="6" ref="E49:E59">C49-D49</f>
        <v>-6130.519999999997</v>
      </c>
      <c r="F49" s="13">
        <f>E49+B49</f>
        <v>318.89000000000306</v>
      </c>
      <c r="G49" s="46">
        <f>D49</f>
        <v>38066.06</v>
      </c>
    </row>
    <row r="50" spans="1:7" ht="39" customHeight="1" outlineLevel="1">
      <c r="A50" s="29" t="s">
        <v>1</v>
      </c>
      <c r="B50" s="29"/>
      <c r="C50" s="15">
        <v>2055.28</v>
      </c>
      <c r="D50" s="15">
        <v>2562.85</v>
      </c>
      <c r="E50" s="13">
        <f t="shared" si="6"/>
        <v>-507.5699999999997</v>
      </c>
      <c r="F50" s="13">
        <f>E50+B50</f>
        <v>-507.5699999999997</v>
      </c>
      <c r="G50" s="46" t="s">
        <v>23</v>
      </c>
    </row>
    <row r="51" spans="1:9" ht="39" customHeight="1" outlineLevel="1">
      <c r="A51" s="30" t="s">
        <v>29</v>
      </c>
      <c r="B51" s="30">
        <f>SUM(B49:B50)</f>
        <v>6449.41</v>
      </c>
      <c r="C51" s="30">
        <f>SUM(C49:C50)</f>
        <v>33990.82</v>
      </c>
      <c r="D51" s="30">
        <f>SUM(D49:D50)</f>
        <v>40628.909999999996</v>
      </c>
      <c r="E51" s="30">
        <f>SUM(E49:E50)</f>
        <v>-6638.0899999999965</v>
      </c>
      <c r="F51" s="30">
        <f>SUM(F49:F50)</f>
        <v>-188.67999999999665</v>
      </c>
      <c r="G51" s="46"/>
      <c r="I51" s="68">
        <f>F51</f>
        <v>-188.67999999999665</v>
      </c>
    </row>
    <row r="52" spans="1:11" ht="26.25" customHeight="1" outlineLevel="1">
      <c r="A52" s="29" t="s">
        <v>4</v>
      </c>
      <c r="B52" s="29">
        <f>68366.75-62.77</f>
        <v>68303.98</v>
      </c>
      <c r="C52" s="15">
        <v>348378.06</v>
      </c>
      <c r="D52" s="15">
        <v>440065.44</v>
      </c>
      <c r="E52" s="13">
        <f t="shared" si="6"/>
        <v>-91687.38</v>
      </c>
      <c r="F52" s="13">
        <f aca="true" t="shared" si="7" ref="F52:F59">E52+B52</f>
        <v>-23383.40000000001</v>
      </c>
      <c r="G52" s="46">
        <f>D52</f>
        <v>440065.44</v>
      </c>
      <c r="K52" s="68">
        <f>F52</f>
        <v>-23383.40000000001</v>
      </c>
    </row>
    <row r="53" spans="1:7" ht="26.25" customHeight="1" outlineLevel="1">
      <c r="A53" s="29" t="s">
        <v>7</v>
      </c>
      <c r="B53" s="29">
        <v>37209.02</v>
      </c>
      <c r="C53" s="15">
        <f>196612.81+1166.39</f>
        <v>197779.2</v>
      </c>
      <c r="D53" s="15">
        <f>218710.97+108.51</f>
        <v>218819.48</v>
      </c>
      <c r="E53" s="13">
        <f t="shared" si="6"/>
        <v>-21040.28</v>
      </c>
      <c r="F53" s="13">
        <f t="shared" si="7"/>
        <v>16168.739999999998</v>
      </c>
      <c r="G53" s="46">
        <f>D53</f>
        <v>218819.48</v>
      </c>
    </row>
    <row r="54" spans="1:7" ht="26.25" customHeight="1" outlineLevel="1">
      <c r="A54" s="29" t="s">
        <v>8</v>
      </c>
      <c r="B54" s="29">
        <v>12549.83</v>
      </c>
      <c r="C54" s="15">
        <v>64418.17</v>
      </c>
      <c r="D54" s="15">
        <v>77347.63</v>
      </c>
      <c r="E54" s="13">
        <f t="shared" si="6"/>
        <v>-12929.460000000006</v>
      </c>
      <c r="F54" s="13">
        <f t="shared" si="7"/>
        <v>-379.6300000000065</v>
      </c>
      <c r="G54" s="46">
        <f>D54</f>
        <v>77347.63</v>
      </c>
    </row>
    <row r="55" spans="1:7" ht="26.25" customHeight="1" outlineLevel="1">
      <c r="A55" s="29" t="s">
        <v>9</v>
      </c>
      <c r="B55" s="29"/>
      <c r="C55" s="15">
        <v>49.39</v>
      </c>
      <c r="D55" s="15">
        <v>639.76</v>
      </c>
      <c r="E55" s="13">
        <f t="shared" si="6"/>
        <v>-590.37</v>
      </c>
      <c r="F55" s="13">
        <f t="shared" si="7"/>
        <v>-590.37</v>
      </c>
      <c r="G55" s="46" t="s">
        <v>23</v>
      </c>
    </row>
    <row r="56" spans="1:7" ht="36.75" customHeight="1" outlineLevel="1">
      <c r="A56" s="29" t="s">
        <v>10</v>
      </c>
      <c r="B56" s="29"/>
      <c r="C56" s="15">
        <v>4160.99</v>
      </c>
      <c r="D56" s="15">
        <v>5188.65</v>
      </c>
      <c r="E56" s="13">
        <f t="shared" si="6"/>
        <v>-1027.6599999999999</v>
      </c>
      <c r="F56" s="13">
        <f t="shared" si="7"/>
        <v>-1027.6599999999999</v>
      </c>
      <c r="G56" s="46" t="s">
        <v>23</v>
      </c>
    </row>
    <row r="57" spans="1:12" ht="36.75" customHeight="1" outlineLevel="1">
      <c r="A57" s="30" t="s">
        <v>41</v>
      </c>
      <c r="B57" s="30">
        <f>SUM(B54:B56)</f>
        <v>12549.83</v>
      </c>
      <c r="C57" s="30">
        <f>SUM(C54:C56)</f>
        <v>68628.55</v>
      </c>
      <c r="D57" s="30">
        <f>SUM(D54:D56)</f>
        <v>83176.04</v>
      </c>
      <c r="E57" s="30">
        <f>SUM(E54:E56)</f>
        <v>-14547.490000000007</v>
      </c>
      <c r="F57" s="32">
        <f t="shared" si="7"/>
        <v>-1997.6600000000071</v>
      </c>
      <c r="G57" s="46"/>
      <c r="L57" s="68">
        <f>F57</f>
        <v>-1997.6600000000071</v>
      </c>
    </row>
    <row r="58" spans="1:7" ht="36.75" customHeight="1" hidden="1" outlineLevel="1">
      <c r="A58" s="29" t="s">
        <v>65</v>
      </c>
      <c r="B58" s="29"/>
      <c r="C58" s="15"/>
      <c r="D58" s="29"/>
      <c r="E58" s="13"/>
      <c r="F58" s="13"/>
      <c r="G58" s="46"/>
    </row>
    <row r="59" spans="1:7" ht="36.75" customHeight="1" outlineLevel="1">
      <c r="A59" s="29" t="s">
        <v>6</v>
      </c>
      <c r="B59" s="29"/>
      <c r="C59" s="15">
        <v>1006.66</v>
      </c>
      <c r="D59" s="15">
        <v>1192.69</v>
      </c>
      <c r="E59" s="13">
        <f t="shared" si="6"/>
        <v>-186.0300000000001</v>
      </c>
      <c r="F59" s="13">
        <f t="shared" si="7"/>
        <v>-186.0300000000001</v>
      </c>
      <c r="G59" s="46"/>
    </row>
    <row r="60" spans="1:7" ht="36.75" customHeight="1" outlineLevel="1">
      <c r="A60" s="53" t="s">
        <v>81</v>
      </c>
      <c r="B60" s="53">
        <f>B51+B52+B53+B57+B58+B59</f>
        <v>124512.24</v>
      </c>
      <c r="C60" s="53">
        <f>C51+C52+C53+C57+C58+C59</f>
        <v>649783.2900000002</v>
      </c>
      <c r="D60" s="53">
        <f>D51+D52+D53+D57+D58+D59</f>
        <v>783882.5599999999</v>
      </c>
      <c r="E60" s="53">
        <f>E51+E52+E53+E57+E58+E59</f>
        <v>-134099.27000000002</v>
      </c>
      <c r="F60" s="53">
        <f>F51+F52+F53+F57+F58+F59</f>
        <v>-9587.030000000015</v>
      </c>
      <c r="G60" s="13"/>
    </row>
    <row r="61" spans="1:7" ht="21" customHeight="1" outlineLevel="1">
      <c r="A61" s="52" t="s">
        <v>34</v>
      </c>
      <c r="B61" s="53"/>
      <c r="C61" s="53"/>
      <c r="D61" s="53"/>
      <c r="E61" s="53"/>
      <c r="F61" s="53"/>
      <c r="G61" s="13"/>
    </row>
    <row r="62" spans="1:7" ht="27" customHeight="1" outlineLevel="1">
      <c r="A62" s="52" t="s">
        <v>35</v>
      </c>
      <c r="B62" s="53">
        <f>B53</f>
        <v>37209.02</v>
      </c>
      <c r="C62" s="53">
        <f>C53</f>
        <v>197779.2</v>
      </c>
      <c r="D62" s="53">
        <f>D53</f>
        <v>218819.48</v>
      </c>
      <c r="E62" s="53">
        <f>E53</f>
        <v>-21040.28</v>
      </c>
      <c r="F62" s="53">
        <f>F53</f>
        <v>16168.739999999998</v>
      </c>
      <c r="G62" s="13"/>
    </row>
    <row r="63" spans="1:7" ht="21.75" customHeight="1" outlineLevel="1">
      <c r="A63" s="52" t="s">
        <v>36</v>
      </c>
      <c r="B63" s="53">
        <f>B51+B52+B57</f>
        <v>87303.22</v>
      </c>
      <c r="C63" s="53">
        <f>C51+C52+C57</f>
        <v>450997.43</v>
      </c>
      <c r="D63" s="53">
        <f>D51+D52+D57</f>
        <v>563870.39</v>
      </c>
      <c r="E63" s="53">
        <f>E51+E52+E57</f>
        <v>-112872.96</v>
      </c>
      <c r="F63" s="53">
        <f>F51+F52+F57</f>
        <v>-25569.740000000013</v>
      </c>
      <c r="G63" s="13"/>
    </row>
    <row r="64" spans="1:7" ht="31.5" customHeight="1" outlineLevel="1">
      <c r="A64" s="52" t="s">
        <v>58</v>
      </c>
      <c r="B64" s="53">
        <f>B58+B59</f>
        <v>0</v>
      </c>
      <c r="C64" s="53">
        <f>C58+C59</f>
        <v>1006.66</v>
      </c>
      <c r="D64" s="53">
        <f>D58+D59</f>
        <v>1192.69</v>
      </c>
      <c r="E64" s="53">
        <f>E58+E59</f>
        <v>-186.0300000000001</v>
      </c>
      <c r="F64" s="53">
        <f>F58+F59</f>
        <v>-186.0300000000001</v>
      </c>
      <c r="G64" s="13"/>
    </row>
    <row r="65" spans="1:7" ht="59.25" customHeight="1">
      <c r="A65" s="37" t="s">
        <v>25</v>
      </c>
      <c r="B65" s="37" t="s">
        <v>72</v>
      </c>
      <c r="C65" s="37" t="s">
        <v>73</v>
      </c>
      <c r="D65" s="38" t="s">
        <v>74</v>
      </c>
      <c r="E65" s="39" t="s">
        <v>28</v>
      </c>
      <c r="F65" s="39" t="s">
        <v>75</v>
      </c>
      <c r="G65" s="19" t="s">
        <v>23</v>
      </c>
    </row>
    <row r="66" spans="1:7" ht="26.25" customHeight="1" outlineLevel="1">
      <c r="A66" s="16" t="s">
        <v>42</v>
      </c>
      <c r="B66" s="20"/>
      <c r="C66" s="12"/>
      <c r="D66" s="12"/>
      <c r="E66" s="10"/>
      <c r="F66" s="10"/>
      <c r="G66" s="10"/>
    </row>
    <row r="67" spans="1:9" ht="26.25" customHeight="1" outlineLevel="1">
      <c r="A67" s="29" t="s">
        <v>0</v>
      </c>
      <c r="B67" s="29">
        <v>58583.07</v>
      </c>
      <c r="C67" s="15">
        <v>398013.75</v>
      </c>
      <c r="D67" s="15">
        <v>406305.53</v>
      </c>
      <c r="E67" s="13">
        <f aca="true" t="shared" si="8" ref="E67:E79">C67-D67</f>
        <v>-8291.780000000028</v>
      </c>
      <c r="F67" s="13">
        <f aca="true" t="shared" si="9" ref="F67:F79">E67+B67</f>
        <v>50291.28999999997</v>
      </c>
      <c r="G67" s="13">
        <f aca="true" t="shared" si="10" ref="G67:G72">D67</f>
        <v>406305.53</v>
      </c>
      <c r="I67" s="68">
        <f>F67</f>
        <v>50291.28999999997</v>
      </c>
    </row>
    <row r="68" spans="1:10" ht="26.25" customHeight="1" outlineLevel="1">
      <c r="A68" s="29" t="s">
        <v>2</v>
      </c>
      <c r="B68" s="29">
        <v>252154.66</v>
      </c>
      <c r="C68" s="15">
        <v>1469886.36</v>
      </c>
      <c r="D68" s="15">
        <v>1539729.35</v>
      </c>
      <c r="E68" s="13">
        <f t="shared" si="8"/>
        <v>-69842.98999999999</v>
      </c>
      <c r="F68" s="13">
        <f t="shared" si="9"/>
        <v>182311.67</v>
      </c>
      <c r="G68" s="13">
        <f t="shared" si="10"/>
        <v>1539729.35</v>
      </c>
      <c r="J68" s="68">
        <f>F68</f>
        <v>182311.67</v>
      </c>
    </row>
    <row r="69" spans="1:11" ht="26.25" customHeight="1" outlineLevel="1">
      <c r="A69" s="29" t="s">
        <v>4</v>
      </c>
      <c r="B69" s="29">
        <v>1438774.41</v>
      </c>
      <c r="C69" s="15">
        <f>8033834.4-95364.44</f>
        <v>7938469.96</v>
      </c>
      <c r="D69" s="15">
        <v>8509903.77</v>
      </c>
      <c r="E69" s="13">
        <f t="shared" si="8"/>
        <v>-571433.8099999996</v>
      </c>
      <c r="F69" s="13">
        <f t="shared" si="9"/>
        <v>867340.6000000003</v>
      </c>
      <c r="G69" s="13">
        <f t="shared" si="10"/>
        <v>8509903.77</v>
      </c>
      <c r="K69" s="68">
        <f>F69</f>
        <v>867340.6000000003</v>
      </c>
    </row>
    <row r="70" spans="1:7" ht="26.25" customHeight="1" outlineLevel="1">
      <c r="A70" s="29" t="s">
        <v>7</v>
      </c>
      <c r="B70" s="29">
        <v>1129490.96</v>
      </c>
      <c r="C70" s="15">
        <v>5347020.62</v>
      </c>
      <c r="D70" s="15">
        <v>4986570.25</v>
      </c>
      <c r="E70" s="13">
        <f t="shared" si="8"/>
        <v>360450.3700000001</v>
      </c>
      <c r="F70" s="13">
        <f t="shared" si="9"/>
        <v>1489941.33</v>
      </c>
      <c r="G70" s="13">
        <f t="shared" si="10"/>
        <v>4986570.25</v>
      </c>
    </row>
    <row r="71" spans="1:12" ht="26.25" customHeight="1" outlineLevel="1">
      <c r="A71" s="29" t="s">
        <v>8</v>
      </c>
      <c r="B71" s="29">
        <v>71357.99</v>
      </c>
      <c r="C71" s="15">
        <v>493958.05</v>
      </c>
      <c r="D71" s="15">
        <v>502136.48</v>
      </c>
      <c r="E71" s="13">
        <f t="shared" si="8"/>
        <v>-8178.429999999993</v>
      </c>
      <c r="F71" s="13">
        <f t="shared" si="9"/>
        <v>63179.56000000001</v>
      </c>
      <c r="G71" s="13">
        <f t="shared" si="10"/>
        <v>502136.48</v>
      </c>
      <c r="L71" s="68">
        <f>F71</f>
        <v>63179.56000000001</v>
      </c>
    </row>
    <row r="72" spans="1:13" ht="26.25" customHeight="1" outlineLevel="1">
      <c r="A72" s="29" t="s">
        <v>12</v>
      </c>
      <c r="B72" s="29">
        <v>400971.96</v>
      </c>
      <c r="C72" s="15">
        <f>1793523.06+655000.58+627.55+19361.02</f>
        <v>2468512.21</v>
      </c>
      <c r="D72" s="15">
        <f>1855348.45+666541.59+16645.68+3192.39</f>
        <v>2541728.1100000003</v>
      </c>
      <c r="E72" s="13">
        <f t="shared" si="8"/>
        <v>-73215.90000000037</v>
      </c>
      <c r="F72" s="13">
        <f t="shared" si="9"/>
        <v>327756.05999999965</v>
      </c>
      <c r="G72" s="13">
        <f t="shared" si="10"/>
        <v>2541728.1100000003</v>
      </c>
      <c r="M72" s="68">
        <f>F72</f>
        <v>327756.05999999965</v>
      </c>
    </row>
    <row r="73" spans="1:7" ht="26.25" customHeight="1" outlineLevel="1">
      <c r="A73" s="29" t="s">
        <v>59</v>
      </c>
      <c r="B73" s="29"/>
      <c r="C73" s="15">
        <v>147133.75</v>
      </c>
      <c r="D73" s="15">
        <v>148961.72</v>
      </c>
      <c r="E73" s="13">
        <f t="shared" si="8"/>
        <v>-1827.9700000000012</v>
      </c>
      <c r="F73" s="13">
        <f t="shared" si="9"/>
        <v>-1827.9700000000012</v>
      </c>
      <c r="G73" s="13"/>
    </row>
    <row r="74" spans="1:7" ht="34.5" customHeight="1" outlineLevel="1">
      <c r="A74" s="29" t="s">
        <v>60</v>
      </c>
      <c r="B74" s="29"/>
      <c r="C74" s="15">
        <v>277049.95</v>
      </c>
      <c r="D74" s="15">
        <v>278874.27</v>
      </c>
      <c r="E74" s="13">
        <f t="shared" si="8"/>
        <v>-1824.320000000007</v>
      </c>
      <c r="F74" s="13">
        <f t="shared" si="9"/>
        <v>-1824.320000000007</v>
      </c>
      <c r="G74" s="13"/>
    </row>
    <row r="75" spans="1:7" ht="45" customHeight="1" outlineLevel="1">
      <c r="A75" s="29" t="s">
        <v>11</v>
      </c>
      <c r="B75" s="29"/>
      <c r="C75" s="15">
        <v>359278.28</v>
      </c>
      <c r="D75" s="15">
        <v>366248.5</v>
      </c>
      <c r="E75" s="13">
        <f t="shared" si="8"/>
        <v>-6970.219999999972</v>
      </c>
      <c r="F75" s="13">
        <f t="shared" si="9"/>
        <v>-6970.219999999972</v>
      </c>
      <c r="G75" s="13"/>
    </row>
    <row r="76" spans="1:7" ht="26.25" customHeight="1" outlineLevel="1">
      <c r="A76" s="29" t="s">
        <v>63</v>
      </c>
      <c r="B76" s="29"/>
      <c r="C76" s="15">
        <v>437771.19</v>
      </c>
      <c r="D76" s="15">
        <v>429059.42</v>
      </c>
      <c r="E76" s="13">
        <f t="shared" si="8"/>
        <v>8711.770000000019</v>
      </c>
      <c r="F76" s="13">
        <f t="shared" si="9"/>
        <v>8711.770000000019</v>
      </c>
      <c r="G76" s="13"/>
    </row>
    <row r="77" spans="1:7" ht="26.25" customHeight="1" outlineLevel="1">
      <c r="A77" s="29" t="s">
        <v>62</v>
      </c>
      <c r="B77" s="29"/>
      <c r="C77" s="15">
        <v>1683537.05</v>
      </c>
      <c r="D77" s="15">
        <v>1693874.07</v>
      </c>
      <c r="E77" s="13">
        <f t="shared" si="8"/>
        <v>-10337.020000000019</v>
      </c>
      <c r="F77" s="13">
        <f t="shared" si="9"/>
        <v>-10337.020000000019</v>
      </c>
      <c r="G77" s="13"/>
    </row>
    <row r="78" spans="1:7" ht="26.25" customHeight="1" outlineLevel="1">
      <c r="A78" s="58" t="s">
        <v>64</v>
      </c>
      <c r="B78" s="29"/>
      <c r="C78" s="15">
        <v>283878.3</v>
      </c>
      <c r="D78" s="15">
        <v>284031.02</v>
      </c>
      <c r="E78" s="13">
        <f t="shared" si="8"/>
        <v>-152.72000000003027</v>
      </c>
      <c r="F78" s="13">
        <f t="shared" si="9"/>
        <v>-152.72000000003027</v>
      </c>
      <c r="G78" s="13"/>
    </row>
    <row r="79" spans="1:7" ht="26.25" customHeight="1" outlineLevel="1">
      <c r="A79" s="58" t="s">
        <v>6</v>
      </c>
      <c r="B79" s="29">
        <v>9685.22</v>
      </c>
      <c r="C79" s="15">
        <v>489213.32</v>
      </c>
      <c r="D79" s="15">
        <v>96868.98</v>
      </c>
      <c r="E79" s="13">
        <f t="shared" si="8"/>
        <v>392344.34</v>
      </c>
      <c r="F79" s="13">
        <f t="shared" si="9"/>
        <v>402029.56</v>
      </c>
      <c r="G79" s="13"/>
    </row>
    <row r="80" spans="1:7" ht="42" customHeight="1" outlineLevel="1">
      <c r="A80" s="53" t="s">
        <v>81</v>
      </c>
      <c r="B80" s="69">
        <f>B67+B68+B69+B70+B71+B72+B73+B74+B75+B76+B77+B78+B79</f>
        <v>3361018.27</v>
      </c>
      <c r="C80" s="54">
        <f>C67+C68+C69+C70+C71+C72+C73+C74+C75+C76+C77+C78+C79</f>
        <v>21793722.790000007</v>
      </c>
      <c r="D80" s="54">
        <f>D67+D68+D69+D70+D71+D72+D73+D74+D75+D76+D77+D78+D79</f>
        <v>21784291.470000003</v>
      </c>
      <c r="E80" s="54">
        <f>E67+E68+E69+E70+E71+E72+E73+E74+E75+E76+E77+E78+E79</f>
        <v>9431.320000000123</v>
      </c>
      <c r="F80" s="54">
        <f>F67+F68+F69+F70+F71+F72+F73+F74+F75+F76+F77+F78+F79</f>
        <v>3370449.59</v>
      </c>
      <c r="G80" s="31">
        <f>SUM(G67:G72)</f>
        <v>18486373.490000002</v>
      </c>
    </row>
    <row r="81" spans="1:7" ht="26.25" customHeight="1" outlineLevel="1">
      <c r="A81" s="53" t="s">
        <v>34</v>
      </c>
      <c r="B81" s="54"/>
      <c r="C81" s="54"/>
      <c r="D81" s="54"/>
      <c r="E81" s="54"/>
      <c r="F81" s="54"/>
      <c r="G81" s="43"/>
    </row>
    <row r="82" spans="1:7" ht="26.25" customHeight="1" outlineLevel="1">
      <c r="A82" s="53" t="s">
        <v>35</v>
      </c>
      <c r="B82" s="54">
        <f>B70</f>
        <v>1129490.96</v>
      </c>
      <c r="C82" s="54">
        <f>C70</f>
        <v>5347020.62</v>
      </c>
      <c r="D82" s="54">
        <f>D70</f>
        <v>4986570.25</v>
      </c>
      <c r="E82" s="54">
        <f>E70</f>
        <v>360450.3700000001</v>
      </c>
      <c r="F82" s="54">
        <f>F70</f>
        <v>1489941.33</v>
      </c>
      <c r="G82" s="43"/>
    </row>
    <row r="83" spans="1:7" ht="26.25" customHeight="1" outlineLevel="1">
      <c r="A83" s="53" t="s">
        <v>36</v>
      </c>
      <c r="B83" s="54">
        <f>B67+B68+B69+B71+B72</f>
        <v>2221842.09</v>
      </c>
      <c r="C83" s="54">
        <f>C67+C68+C69+C71+C72</f>
        <v>12768840.330000002</v>
      </c>
      <c r="D83" s="54">
        <f>D67+D68+D69+D71+D72</f>
        <v>13499803.240000002</v>
      </c>
      <c r="E83" s="54">
        <f>E67+E68+E69+E71+E72</f>
        <v>-730962.9099999999</v>
      </c>
      <c r="F83" s="54">
        <f>F67+F68+F69+F71+F72</f>
        <v>1490879.18</v>
      </c>
      <c r="G83" s="43"/>
    </row>
    <row r="84" spans="1:7" ht="26.25" customHeight="1" outlineLevel="1">
      <c r="A84" s="53" t="s">
        <v>58</v>
      </c>
      <c r="B84" s="54">
        <f>B73+B74+B75+B76+B77+B78+B79</f>
        <v>9685.22</v>
      </c>
      <c r="C84" s="54">
        <f>C73+C74+C75+C76+C77+C78+C79</f>
        <v>3677861.8399999994</v>
      </c>
      <c r="D84" s="54">
        <f>D73+D74+D75+D76+D77+D78+D79</f>
        <v>3297917.98</v>
      </c>
      <c r="E84" s="54">
        <f>E73+E74+E75+E76+E77+E78+E79</f>
        <v>379943.86</v>
      </c>
      <c r="F84" s="54">
        <f>F73+F74+F75+F76+F77+F78+F79</f>
        <v>389629.07999999996</v>
      </c>
      <c r="G84" s="43"/>
    </row>
    <row r="85" spans="1:7" ht="50.25" customHeight="1">
      <c r="A85" s="37" t="s">
        <v>25</v>
      </c>
      <c r="B85" s="37" t="s">
        <v>72</v>
      </c>
      <c r="C85" s="37" t="s">
        <v>73</v>
      </c>
      <c r="D85" s="38" t="s">
        <v>74</v>
      </c>
      <c r="E85" s="39" t="s">
        <v>28</v>
      </c>
      <c r="F85" s="39" t="s">
        <v>75</v>
      </c>
      <c r="G85" s="19" t="s">
        <v>23</v>
      </c>
    </row>
    <row r="86" spans="1:7" ht="26.25" customHeight="1" outlineLevel="1">
      <c r="A86" s="16" t="s">
        <v>43</v>
      </c>
      <c r="B86" s="20"/>
      <c r="C86" s="12"/>
      <c r="D86" s="12"/>
      <c r="E86" s="10"/>
      <c r="F86" s="10"/>
      <c r="G86" s="10" t="s">
        <v>23</v>
      </c>
    </row>
    <row r="87" spans="1:7" ht="26.25" customHeight="1" outlineLevel="1">
      <c r="A87" s="29" t="s">
        <v>0</v>
      </c>
      <c r="B87" s="29">
        <v>16563.57</v>
      </c>
      <c r="C87" s="15">
        <v>221905.66</v>
      </c>
      <c r="D87" s="15">
        <v>216554.36</v>
      </c>
      <c r="E87" s="11">
        <f aca="true" t="shared" si="11" ref="E87:E96">C87-D87</f>
        <v>5351.3000000000175</v>
      </c>
      <c r="F87" s="13">
        <f aca="true" t="shared" si="12" ref="F87:F99">E87+B87</f>
        <v>21914.870000000017</v>
      </c>
      <c r="G87" s="12">
        <f>D87</f>
        <v>216554.36</v>
      </c>
    </row>
    <row r="88" spans="1:7" ht="26.25" customHeight="1" outlineLevel="1">
      <c r="A88" s="29" t="s">
        <v>1</v>
      </c>
      <c r="B88" s="29"/>
      <c r="C88" s="15">
        <v>9217.78</v>
      </c>
      <c r="D88" s="15">
        <v>8479.46</v>
      </c>
      <c r="E88" s="11">
        <f t="shared" si="11"/>
        <v>738.3200000000015</v>
      </c>
      <c r="F88" s="13">
        <f t="shared" si="12"/>
        <v>738.3200000000015</v>
      </c>
      <c r="G88" s="12" t="s">
        <v>23</v>
      </c>
    </row>
    <row r="89" spans="1:9" ht="26.25" customHeight="1" outlineLevel="1">
      <c r="A89" s="30" t="s">
        <v>29</v>
      </c>
      <c r="B89" s="30">
        <f>B87+B88</f>
        <v>16563.57</v>
      </c>
      <c r="C89" s="30">
        <f>C87+C88</f>
        <v>231123.44</v>
      </c>
      <c r="D89" s="30">
        <f>D87+D88</f>
        <v>225033.81999999998</v>
      </c>
      <c r="E89" s="30">
        <f>E87+E88</f>
        <v>6089.620000000019</v>
      </c>
      <c r="F89" s="30">
        <f>F87+F88</f>
        <v>22653.190000000017</v>
      </c>
      <c r="G89" s="12"/>
      <c r="I89" s="68">
        <f>F89</f>
        <v>22653.190000000017</v>
      </c>
    </row>
    <row r="90" spans="1:7" ht="26.25" customHeight="1" outlineLevel="1">
      <c r="A90" s="29" t="s">
        <v>2</v>
      </c>
      <c r="B90" s="29">
        <f>88117.57+1.34</f>
        <v>88118.91</v>
      </c>
      <c r="C90" s="15">
        <v>1168550.15</v>
      </c>
      <c r="D90" s="15">
        <v>1130448.67</v>
      </c>
      <c r="E90" s="11">
        <f t="shared" si="11"/>
        <v>38101.47999999998</v>
      </c>
      <c r="F90" s="13">
        <f t="shared" si="12"/>
        <v>126220.38999999998</v>
      </c>
      <c r="G90" s="12">
        <f>D90</f>
        <v>1130448.67</v>
      </c>
    </row>
    <row r="91" spans="1:7" ht="43.5" customHeight="1" outlineLevel="1">
      <c r="A91" s="29" t="s">
        <v>3</v>
      </c>
      <c r="B91" s="29"/>
      <c r="C91" s="15">
        <v>48652.34</v>
      </c>
      <c r="D91" s="15">
        <v>44952.25</v>
      </c>
      <c r="E91" s="11">
        <f t="shared" si="11"/>
        <v>3700.0899999999965</v>
      </c>
      <c r="F91" s="13">
        <f t="shared" si="12"/>
        <v>3700.0899999999965</v>
      </c>
      <c r="G91" s="12" t="s">
        <v>23</v>
      </c>
    </row>
    <row r="92" spans="1:10" ht="30.75" customHeight="1" outlineLevel="1">
      <c r="A92" s="30" t="s">
        <v>31</v>
      </c>
      <c r="B92" s="30">
        <f>B90+B91</f>
        <v>88118.91</v>
      </c>
      <c r="C92" s="30">
        <f>C90+C91</f>
        <v>1217202.49</v>
      </c>
      <c r="D92" s="30">
        <f>D90+D91</f>
        <v>1175400.92</v>
      </c>
      <c r="E92" s="30">
        <f>E90+E91</f>
        <v>41801.56999999998</v>
      </c>
      <c r="F92" s="30">
        <f>F90+F91</f>
        <v>129920.47999999998</v>
      </c>
      <c r="G92" s="12" t="s">
        <v>23</v>
      </c>
      <c r="J92" s="68">
        <f>F92</f>
        <v>129920.47999999998</v>
      </c>
    </row>
    <row r="93" spans="1:7" ht="26.25" customHeight="1" outlineLevel="1">
      <c r="A93" s="29" t="s">
        <v>7</v>
      </c>
      <c r="B93" s="29">
        <v>218459.03</v>
      </c>
      <c r="C93" s="15">
        <f>2485332.66+1818.81+16704.78</f>
        <v>2503856.25</v>
      </c>
      <c r="D93" s="15">
        <f>2605356.04+14225.64</f>
        <v>2619581.68</v>
      </c>
      <c r="E93" s="11">
        <f t="shared" si="11"/>
        <v>-115725.43000000017</v>
      </c>
      <c r="F93" s="13">
        <f t="shared" si="12"/>
        <v>102733.59999999983</v>
      </c>
      <c r="G93" s="12">
        <f>D93</f>
        <v>2619581.68</v>
      </c>
    </row>
    <row r="94" spans="1:7" ht="26.25" customHeight="1" outlineLevel="1">
      <c r="A94" s="29" t="s">
        <v>8</v>
      </c>
      <c r="B94" s="29">
        <v>19318.33</v>
      </c>
      <c r="C94" s="15">
        <v>258688.04</v>
      </c>
      <c r="D94" s="15">
        <v>255896.82</v>
      </c>
      <c r="E94" s="11">
        <f t="shared" si="11"/>
        <v>2791.220000000001</v>
      </c>
      <c r="F94" s="13">
        <f t="shared" si="12"/>
        <v>22109.550000000003</v>
      </c>
      <c r="G94" s="12">
        <f>D94</f>
        <v>255896.82</v>
      </c>
    </row>
    <row r="95" spans="1:7" ht="26.25" customHeight="1" outlineLevel="1">
      <c r="A95" s="29" t="s">
        <v>9</v>
      </c>
      <c r="B95" s="29">
        <v>1491.91</v>
      </c>
      <c r="C95" s="15">
        <v>20533.1</v>
      </c>
      <c r="D95" s="15">
        <v>19885.99</v>
      </c>
      <c r="E95" s="11">
        <f t="shared" si="11"/>
        <v>647.109999999997</v>
      </c>
      <c r="F95" s="13">
        <f t="shared" si="12"/>
        <v>2139.019999999997</v>
      </c>
      <c r="G95" s="12">
        <f>D95</f>
        <v>19885.99</v>
      </c>
    </row>
    <row r="96" spans="1:7" ht="44.25" customHeight="1" outlineLevel="1">
      <c r="A96" s="29" t="s">
        <v>10</v>
      </c>
      <c r="B96" s="29"/>
      <c r="C96" s="15">
        <v>10517.79</v>
      </c>
      <c r="D96" s="15">
        <v>9747.14</v>
      </c>
      <c r="E96" s="11">
        <f t="shared" si="11"/>
        <v>770.6500000000015</v>
      </c>
      <c r="F96" s="13">
        <f t="shared" si="12"/>
        <v>770.6500000000015</v>
      </c>
      <c r="G96" s="12" t="s">
        <v>23</v>
      </c>
    </row>
    <row r="97" spans="1:12" ht="44.25" customHeight="1" outlineLevel="1">
      <c r="A97" s="30" t="s">
        <v>33</v>
      </c>
      <c r="B97" s="30">
        <f>SUM(B94:B96)</f>
        <v>20810.24</v>
      </c>
      <c r="C97" s="30">
        <f>SUM(C94:C96)</f>
        <v>289738.93</v>
      </c>
      <c r="D97" s="30">
        <f>SUM(D94:D96)</f>
        <v>285529.95</v>
      </c>
      <c r="E97" s="30">
        <f>SUM(E94:E96)</f>
        <v>4208.98</v>
      </c>
      <c r="F97" s="30">
        <f>SUM(F94:F96)</f>
        <v>25019.22</v>
      </c>
      <c r="G97" s="12"/>
      <c r="L97" s="68">
        <f>F97</f>
        <v>25019.22</v>
      </c>
    </row>
    <row r="98" spans="1:7" ht="30.75" customHeight="1" hidden="1" outlineLevel="1">
      <c r="A98" s="29" t="s">
        <v>65</v>
      </c>
      <c r="B98" s="30"/>
      <c r="C98" s="15"/>
      <c r="D98" s="15"/>
      <c r="E98" s="11"/>
      <c r="F98" s="13"/>
      <c r="G98" s="12">
        <f>G97</f>
        <v>0</v>
      </c>
    </row>
    <row r="99" spans="1:7" ht="29.25" customHeight="1" outlineLevel="1">
      <c r="A99" s="29" t="s">
        <v>6</v>
      </c>
      <c r="B99" s="30"/>
      <c r="C99" s="15">
        <v>16939.15</v>
      </c>
      <c r="D99" s="15">
        <v>1495.06</v>
      </c>
      <c r="E99" s="11">
        <f>C99-D99</f>
        <v>15444.090000000002</v>
      </c>
      <c r="F99" s="13">
        <f t="shared" si="12"/>
        <v>15444.090000000002</v>
      </c>
      <c r="G99" s="12">
        <f>G98</f>
        <v>0</v>
      </c>
    </row>
    <row r="100" spans="1:7" ht="44.25" customHeight="1" outlineLevel="1">
      <c r="A100" s="53" t="s">
        <v>81</v>
      </c>
      <c r="B100" s="54">
        <f>B89+B92+B93+B97+B98+B99</f>
        <v>343951.75</v>
      </c>
      <c r="C100" s="54">
        <f>C89+C92+C93+C97+C98+C99</f>
        <v>4258860.26</v>
      </c>
      <c r="D100" s="54">
        <f>D89+D92+D93+D97+D98+D99</f>
        <v>4307041.43</v>
      </c>
      <c r="E100" s="54">
        <f>E89+E92+E93+E97+E98+E99</f>
        <v>-48181.170000000166</v>
      </c>
      <c r="F100" s="54">
        <f>F89+F92+F93+F97+F98+F99</f>
        <v>295770.57999999984</v>
      </c>
      <c r="G100" s="12"/>
    </row>
    <row r="101" spans="1:7" ht="25.5" customHeight="1" outlineLevel="1">
      <c r="A101" s="53" t="s">
        <v>34</v>
      </c>
      <c r="B101" s="54"/>
      <c r="C101" s="54"/>
      <c r="D101" s="54"/>
      <c r="E101" s="54"/>
      <c r="F101" s="54"/>
      <c r="G101" s="12"/>
    </row>
    <row r="102" spans="1:7" ht="22.5" customHeight="1" outlineLevel="1">
      <c r="A102" s="53" t="s">
        <v>35</v>
      </c>
      <c r="B102" s="54">
        <f aca="true" t="shared" si="13" ref="B102:G102">B93</f>
        <v>218459.03</v>
      </c>
      <c r="C102" s="54">
        <f t="shared" si="13"/>
        <v>2503856.25</v>
      </c>
      <c r="D102" s="54">
        <f t="shared" si="13"/>
        <v>2619581.68</v>
      </c>
      <c r="E102" s="54">
        <f t="shared" si="13"/>
        <v>-115725.43000000017</v>
      </c>
      <c r="F102" s="54">
        <f t="shared" si="13"/>
        <v>102733.59999999983</v>
      </c>
      <c r="G102" s="54">
        <f t="shared" si="13"/>
        <v>2619581.68</v>
      </c>
    </row>
    <row r="103" spans="1:7" ht="28.5" customHeight="1" outlineLevel="1">
      <c r="A103" s="53" t="s">
        <v>36</v>
      </c>
      <c r="B103" s="54">
        <f>B89+B92+B97</f>
        <v>125492.72000000002</v>
      </c>
      <c r="C103" s="54">
        <f>C89+C92+C97</f>
        <v>1738064.8599999999</v>
      </c>
      <c r="D103" s="54">
        <f>D89+D92+D97</f>
        <v>1685964.69</v>
      </c>
      <c r="E103" s="54">
        <f>E89+E92+E97</f>
        <v>52100.17</v>
      </c>
      <c r="F103" s="54">
        <f>F89+F92+F97</f>
        <v>177592.88999999998</v>
      </c>
      <c r="G103" s="17">
        <f>SUM(G87:G96)</f>
        <v>4242367.5200000005</v>
      </c>
    </row>
    <row r="104" spans="1:7" ht="28.5" customHeight="1" outlineLevel="1">
      <c r="A104" s="52" t="s">
        <v>68</v>
      </c>
      <c r="B104" s="54">
        <f>B98+B99</f>
        <v>0</v>
      </c>
      <c r="C104" s="54">
        <f>C98+C99</f>
        <v>16939.15</v>
      </c>
      <c r="D104" s="54">
        <f>D98+D99</f>
        <v>1495.06</v>
      </c>
      <c r="E104" s="54">
        <f>E98+E99</f>
        <v>15444.090000000002</v>
      </c>
      <c r="F104" s="54">
        <f>F98+F99</f>
        <v>15444.090000000002</v>
      </c>
      <c r="G104" s="17"/>
    </row>
    <row r="105" spans="1:7" ht="49.5" customHeight="1">
      <c r="A105" s="37" t="s">
        <v>25</v>
      </c>
      <c r="B105" s="37" t="s">
        <v>72</v>
      </c>
      <c r="C105" s="37" t="s">
        <v>73</v>
      </c>
      <c r="D105" s="38" t="s">
        <v>74</v>
      </c>
      <c r="E105" s="39" t="s">
        <v>28</v>
      </c>
      <c r="F105" s="39" t="s">
        <v>75</v>
      </c>
      <c r="G105" s="19" t="s">
        <v>23</v>
      </c>
    </row>
    <row r="106" spans="1:7" ht="26.25" customHeight="1" outlineLevel="1">
      <c r="A106" s="16" t="s">
        <v>44</v>
      </c>
      <c r="B106" s="20"/>
      <c r="C106" s="12"/>
      <c r="D106" s="12"/>
      <c r="E106" s="10"/>
      <c r="F106" s="10"/>
      <c r="G106" s="10"/>
    </row>
    <row r="107" spans="1:9" ht="26.25" customHeight="1" outlineLevel="1">
      <c r="A107" s="28" t="s">
        <v>0</v>
      </c>
      <c r="B107" s="28">
        <v>8314.31</v>
      </c>
      <c r="C107" s="15">
        <v>106705.35</v>
      </c>
      <c r="D107" s="15">
        <v>90029.35</v>
      </c>
      <c r="E107" s="11">
        <f aca="true" t="shared" si="14" ref="E107:E119">C107-D107</f>
        <v>16676</v>
      </c>
      <c r="F107" s="11">
        <f>E107+B107</f>
        <v>24990.309999999998</v>
      </c>
      <c r="G107" s="12">
        <f>D107</f>
        <v>90029.35</v>
      </c>
      <c r="I107" s="68">
        <f>F107</f>
        <v>24990.309999999998</v>
      </c>
    </row>
    <row r="108" spans="1:10" ht="26.25" customHeight="1" outlineLevel="1">
      <c r="A108" s="28" t="s">
        <v>2</v>
      </c>
      <c r="B108" s="28">
        <v>41164</v>
      </c>
      <c r="C108" s="15">
        <f>547242.45</f>
        <v>547242.45</v>
      </c>
      <c r="D108" s="15">
        <f>470267.68</f>
        <v>470267.68</v>
      </c>
      <c r="E108" s="11">
        <f t="shared" si="14"/>
        <v>76974.76999999996</v>
      </c>
      <c r="F108" s="11">
        <f aca="true" t="shared" si="15" ref="F108:F119">E108+B108</f>
        <v>118138.76999999996</v>
      </c>
      <c r="G108" s="12">
        <f aca="true" t="shared" si="16" ref="G108:G114">D108</f>
        <v>470267.68</v>
      </c>
      <c r="J108" s="68">
        <f>F108</f>
        <v>118138.76999999996</v>
      </c>
    </row>
    <row r="109" spans="1:11" ht="26.25" customHeight="1" outlineLevel="1">
      <c r="A109" s="28" t="s">
        <v>4</v>
      </c>
      <c r="B109" s="28">
        <v>81986.45</v>
      </c>
      <c r="C109" s="15">
        <f>963121.47+175.25</f>
        <v>963296.72</v>
      </c>
      <c r="D109" s="15">
        <v>874190.52</v>
      </c>
      <c r="E109" s="11">
        <f t="shared" si="14"/>
        <v>89106.19999999995</v>
      </c>
      <c r="F109" s="11">
        <f t="shared" si="15"/>
        <v>171092.64999999997</v>
      </c>
      <c r="G109" s="12">
        <f t="shared" si="16"/>
        <v>874190.52</v>
      </c>
      <c r="K109" s="68">
        <f>F109</f>
        <v>171092.64999999997</v>
      </c>
    </row>
    <row r="110" spans="1:7" ht="26.25" customHeight="1" outlineLevel="1">
      <c r="A110" s="28" t="s">
        <v>7</v>
      </c>
      <c r="B110" s="28">
        <f>86203.13+37.81</f>
        <v>86240.94</v>
      </c>
      <c r="C110" s="15">
        <f>792769.93-1067.87+0.03+2323.73</f>
        <v>794025.8200000001</v>
      </c>
      <c r="D110" s="15">
        <f>935743.32+3.31</f>
        <v>935746.63</v>
      </c>
      <c r="E110" s="11">
        <f t="shared" si="14"/>
        <v>-141720.80999999994</v>
      </c>
      <c r="F110" s="11">
        <f t="shared" si="15"/>
        <v>-55479.86999999994</v>
      </c>
      <c r="G110" s="12">
        <f t="shared" si="16"/>
        <v>935746.63</v>
      </c>
    </row>
    <row r="111" spans="1:7" ht="26.25" customHeight="1" outlineLevel="1">
      <c r="A111" s="28" t="s">
        <v>8</v>
      </c>
      <c r="B111" s="28">
        <v>10144.16</v>
      </c>
      <c r="C111" s="15">
        <v>126930.61</v>
      </c>
      <c r="D111" s="15">
        <v>106666.02</v>
      </c>
      <c r="E111" s="11">
        <f t="shared" si="14"/>
        <v>20264.589999999997</v>
      </c>
      <c r="F111" s="11">
        <f t="shared" si="15"/>
        <v>30408.749999999996</v>
      </c>
      <c r="G111" s="12">
        <f t="shared" si="16"/>
        <v>106666.02</v>
      </c>
    </row>
    <row r="112" spans="1:7" ht="26.25" customHeight="1" outlineLevel="1">
      <c r="A112" s="28" t="s">
        <v>9</v>
      </c>
      <c r="B112" s="28">
        <v>284.48</v>
      </c>
      <c r="C112" s="15">
        <v>-8704.65</v>
      </c>
      <c r="D112" s="15">
        <v>399.32</v>
      </c>
      <c r="E112" s="11">
        <f t="shared" si="14"/>
        <v>-9103.97</v>
      </c>
      <c r="F112" s="11">
        <f t="shared" si="15"/>
        <v>-8819.49</v>
      </c>
      <c r="G112" s="12">
        <f t="shared" si="16"/>
        <v>399.32</v>
      </c>
    </row>
    <row r="113" spans="1:12" ht="42" customHeight="1" outlineLevel="1">
      <c r="A113" s="30" t="s">
        <v>33</v>
      </c>
      <c r="B113" s="28">
        <f>B111+B112</f>
        <v>10428.64</v>
      </c>
      <c r="C113" s="28">
        <f>C111+C112</f>
        <v>118225.96</v>
      </c>
      <c r="D113" s="28">
        <f>D111+D112</f>
        <v>107065.34000000001</v>
      </c>
      <c r="E113" s="28">
        <f>E111+E112</f>
        <v>11160.619999999997</v>
      </c>
      <c r="F113" s="11">
        <f t="shared" si="15"/>
        <v>21589.259999999995</v>
      </c>
      <c r="G113" s="12"/>
      <c r="L113" s="68">
        <f>F113</f>
        <v>21589.259999999995</v>
      </c>
    </row>
    <row r="114" spans="1:13" ht="30.75" customHeight="1" outlineLevel="1">
      <c r="A114" s="28" t="s">
        <v>13</v>
      </c>
      <c r="B114" s="28">
        <v>6996.14</v>
      </c>
      <c r="C114" s="15">
        <v>71653.63</v>
      </c>
      <c r="D114" s="15">
        <v>63113.21</v>
      </c>
      <c r="E114" s="11">
        <f t="shared" si="14"/>
        <v>8540.420000000006</v>
      </c>
      <c r="F114" s="11">
        <f t="shared" si="15"/>
        <v>15536.560000000005</v>
      </c>
      <c r="G114" s="12">
        <f t="shared" si="16"/>
        <v>63113.21</v>
      </c>
      <c r="M114" s="68">
        <f>F114</f>
        <v>15536.560000000005</v>
      </c>
    </row>
    <row r="115" spans="1:7" ht="30.75" customHeight="1" hidden="1" outlineLevel="1">
      <c r="A115" s="28" t="s">
        <v>65</v>
      </c>
      <c r="B115" s="28"/>
      <c r="C115" s="15"/>
      <c r="D115" s="15"/>
      <c r="E115" s="11"/>
      <c r="F115" s="11"/>
      <c r="G115" s="12"/>
    </row>
    <row r="116" spans="1:7" ht="30.75" customHeight="1" outlineLevel="1">
      <c r="A116" s="61" t="s">
        <v>6</v>
      </c>
      <c r="B116" s="28"/>
      <c r="C116" s="15">
        <v>5933.77</v>
      </c>
      <c r="D116" s="15">
        <v>2090.77</v>
      </c>
      <c r="E116" s="11">
        <f t="shared" si="14"/>
        <v>3843.0000000000005</v>
      </c>
      <c r="F116" s="11">
        <f t="shared" si="15"/>
        <v>3843.0000000000005</v>
      </c>
      <c r="G116" s="12"/>
    </row>
    <row r="117" spans="1:7" ht="30.75" customHeight="1" outlineLevel="1">
      <c r="A117" s="61" t="s">
        <v>69</v>
      </c>
      <c r="B117" s="28"/>
      <c r="C117" s="15">
        <f>11492.3+1890.41</f>
        <v>13382.71</v>
      </c>
      <c r="D117" s="15">
        <v>9731.83</v>
      </c>
      <c r="E117" s="11">
        <f t="shared" si="14"/>
        <v>3650.879999999999</v>
      </c>
      <c r="F117" s="11">
        <f t="shared" si="15"/>
        <v>3650.879999999999</v>
      </c>
      <c r="G117" s="12"/>
    </row>
    <row r="118" spans="1:7" ht="30.75" customHeight="1" outlineLevel="1">
      <c r="A118" s="28" t="s">
        <v>70</v>
      </c>
      <c r="B118" s="28"/>
      <c r="C118" s="15">
        <v>-3693.3</v>
      </c>
      <c r="D118" s="15"/>
      <c r="E118" s="11">
        <f t="shared" si="14"/>
        <v>-3693.3</v>
      </c>
      <c r="F118" s="11">
        <f t="shared" si="15"/>
        <v>-3693.3</v>
      </c>
      <c r="G118" s="12"/>
    </row>
    <row r="119" spans="1:7" ht="30.75" customHeight="1" outlineLevel="1">
      <c r="A119" s="61" t="s">
        <v>66</v>
      </c>
      <c r="B119" s="28"/>
      <c r="C119" s="15">
        <v>105219.06</v>
      </c>
      <c r="D119" s="15">
        <v>91395.76</v>
      </c>
      <c r="E119" s="11">
        <f t="shared" si="14"/>
        <v>13823.300000000003</v>
      </c>
      <c r="F119" s="11">
        <f t="shared" si="15"/>
        <v>13823.300000000003</v>
      </c>
      <c r="G119" s="12"/>
    </row>
    <row r="120" spans="1:7" ht="37.5" customHeight="1" outlineLevel="1">
      <c r="A120" s="53" t="s">
        <v>81</v>
      </c>
      <c r="B120" s="54">
        <f>B107+B108+B109+B110+B113+B114+B115+B116+B117+B118+B119</f>
        <v>235130.48000000004</v>
      </c>
      <c r="C120" s="54">
        <f>C107+C108+C109+C110+C113+C114+C115+C116+C117+C118+C119</f>
        <v>2721992.17</v>
      </c>
      <c r="D120" s="54">
        <f>D107+D108+D109+D110+D113+D114+D115+D116+D117+D118+D119</f>
        <v>2643631.09</v>
      </c>
      <c r="E120" s="54">
        <f>E107+E108+E109+E110+E113+E114+E115+E116+E117+E118+E119</f>
        <v>78361.07999999997</v>
      </c>
      <c r="F120" s="54">
        <f>F107+F108+F109+F110+F113+F114+F115+F116+F117+F118+F119</f>
        <v>313491.56</v>
      </c>
      <c r="G120" s="12"/>
    </row>
    <row r="121" spans="1:7" ht="26.25" customHeight="1" outlineLevel="1">
      <c r="A121" s="53" t="s">
        <v>34</v>
      </c>
      <c r="B121" s="54"/>
      <c r="C121" s="54"/>
      <c r="D121" s="54"/>
      <c r="E121" s="54"/>
      <c r="F121" s="54"/>
      <c r="G121" s="12"/>
    </row>
    <row r="122" spans="1:7" ht="26.25" customHeight="1" outlineLevel="1">
      <c r="A122" s="53" t="s">
        <v>35</v>
      </c>
      <c r="B122" s="54">
        <f>B110</f>
        <v>86240.94</v>
      </c>
      <c r="C122" s="54">
        <f>C110</f>
        <v>794025.8200000001</v>
      </c>
      <c r="D122" s="54">
        <f>D110</f>
        <v>935746.63</v>
      </c>
      <c r="E122" s="54">
        <f>E110</f>
        <v>-141720.80999999994</v>
      </c>
      <c r="F122" s="54">
        <f>F110</f>
        <v>-55479.86999999994</v>
      </c>
      <c r="G122" s="12"/>
    </row>
    <row r="123" spans="1:7" ht="26.25" customHeight="1" outlineLevel="1">
      <c r="A123" s="53" t="s">
        <v>36</v>
      </c>
      <c r="B123" s="54">
        <f>B107+B108+B109+B113+B114</f>
        <v>148889.54000000004</v>
      </c>
      <c r="C123" s="54">
        <f>C107+C108+C109+C113+C114</f>
        <v>1807124.1099999999</v>
      </c>
      <c r="D123" s="54">
        <f>D107+D108+D109+D113+D114</f>
        <v>1604666.1</v>
      </c>
      <c r="E123" s="54">
        <f>E107+E108+E109+E113+E114</f>
        <v>202458.00999999992</v>
      </c>
      <c r="F123" s="54">
        <f>F107+F108+F109+F113+F114</f>
        <v>351347.54999999993</v>
      </c>
      <c r="G123" s="12"/>
    </row>
    <row r="124" spans="1:7" ht="26.25" customHeight="1" outlineLevel="1">
      <c r="A124" s="52" t="s">
        <v>68</v>
      </c>
      <c r="B124" s="54">
        <f>B115+B116+B117+B118+B119</f>
        <v>0</v>
      </c>
      <c r="C124" s="54">
        <f>C115+C116+C117+C118+C119</f>
        <v>120842.23999999999</v>
      </c>
      <c r="D124" s="54">
        <f>D115+D116+D117+D118+D119</f>
        <v>103218.36</v>
      </c>
      <c r="E124" s="54">
        <f>E115+E116+E117+E118+E119</f>
        <v>17623.88</v>
      </c>
      <c r="F124" s="54">
        <f>F115+F116+F117+F118+F119</f>
        <v>17623.88</v>
      </c>
      <c r="G124" s="12"/>
    </row>
    <row r="125" spans="1:7" ht="46.5" customHeight="1" outlineLevel="1">
      <c r="A125" s="37" t="s">
        <v>25</v>
      </c>
      <c r="B125" s="37" t="s">
        <v>72</v>
      </c>
      <c r="C125" s="37" t="s">
        <v>73</v>
      </c>
      <c r="D125" s="38" t="s">
        <v>74</v>
      </c>
      <c r="E125" s="39" t="s">
        <v>28</v>
      </c>
      <c r="F125" s="39" t="s">
        <v>75</v>
      </c>
      <c r="G125" s="19" t="s">
        <v>23</v>
      </c>
    </row>
    <row r="126" spans="1:7" ht="46.5" customHeight="1" outlineLevel="1">
      <c r="A126" s="18" t="s">
        <v>45</v>
      </c>
      <c r="B126" s="6"/>
      <c r="C126" s="7"/>
      <c r="D126" s="8"/>
      <c r="E126" s="9"/>
      <c r="F126" s="9"/>
      <c r="G126" s="19"/>
    </row>
    <row r="127" spans="1:7" ht="26.25" customHeight="1" outlineLevel="1">
      <c r="A127" s="29" t="s">
        <v>0</v>
      </c>
      <c r="B127" s="29">
        <v>19542.71</v>
      </c>
      <c r="C127" s="15">
        <v>75359.69</v>
      </c>
      <c r="D127" s="15">
        <v>74852.99</v>
      </c>
      <c r="E127" s="11">
        <f aca="true" t="shared" si="17" ref="E127:E140">C127-D127</f>
        <v>506.6999999999971</v>
      </c>
      <c r="F127" s="11">
        <f>E127+B127</f>
        <v>20049.409999999996</v>
      </c>
      <c r="G127" s="12">
        <f>D127</f>
        <v>74852.99</v>
      </c>
    </row>
    <row r="128" spans="1:7" ht="32.25" customHeight="1" outlineLevel="1">
      <c r="A128" s="29" t="s">
        <v>1</v>
      </c>
      <c r="B128" s="29"/>
      <c r="C128" s="15">
        <v>6543.24</v>
      </c>
      <c r="D128" s="15">
        <v>5304.34</v>
      </c>
      <c r="E128" s="11">
        <f t="shared" si="17"/>
        <v>1238.8999999999996</v>
      </c>
      <c r="F128" s="11">
        <f>E128+B128</f>
        <v>1238.8999999999996</v>
      </c>
      <c r="G128" s="12" t="s">
        <v>23</v>
      </c>
    </row>
    <row r="129" spans="1:9" ht="32.25" customHeight="1" outlineLevel="1">
      <c r="A129" s="30" t="s">
        <v>29</v>
      </c>
      <c r="B129" s="30">
        <f>B127+B128</f>
        <v>19542.71</v>
      </c>
      <c r="C129" s="30">
        <f>C127+C128</f>
        <v>81902.93000000001</v>
      </c>
      <c r="D129" s="30">
        <f>D127+D128</f>
        <v>80157.33</v>
      </c>
      <c r="E129" s="30">
        <f>E127+E128</f>
        <v>1745.5999999999967</v>
      </c>
      <c r="F129" s="30">
        <f>F127+F128</f>
        <v>21288.309999999998</v>
      </c>
      <c r="G129" s="12"/>
      <c r="I129" s="68">
        <f>F129</f>
        <v>21288.309999999998</v>
      </c>
    </row>
    <row r="130" spans="1:7" ht="26.25" customHeight="1" outlineLevel="1">
      <c r="A130" s="29" t="s">
        <v>2</v>
      </c>
      <c r="B130" s="29">
        <v>99957.89</v>
      </c>
      <c r="C130" s="15">
        <v>398327.41</v>
      </c>
      <c r="D130" s="15">
        <v>394740.5</v>
      </c>
      <c r="E130" s="11">
        <f t="shared" si="17"/>
        <v>3586.9099999999744</v>
      </c>
      <c r="F130" s="11">
        <f>E130+B130</f>
        <v>103544.79999999997</v>
      </c>
      <c r="G130" s="12">
        <f>D130</f>
        <v>394740.5</v>
      </c>
    </row>
    <row r="131" spans="1:7" ht="33" customHeight="1" outlineLevel="1">
      <c r="A131" s="29" t="s">
        <v>3</v>
      </c>
      <c r="B131" s="29"/>
      <c r="C131" s="15">
        <v>34849.66</v>
      </c>
      <c r="D131" s="15">
        <v>27600.97</v>
      </c>
      <c r="E131" s="11">
        <f t="shared" si="17"/>
        <v>7248.690000000002</v>
      </c>
      <c r="F131" s="11">
        <f>E131+B131</f>
        <v>7248.690000000002</v>
      </c>
      <c r="G131" s="12" t="s">
        <v>23</v>
      </c>
    </row>
    <row r="132" spans="1:10" ht="37.5" customHeight="1" outlineLevel="1">
      <c r="A132" s="30" t="s">
        <v>31</v>
      </c>
      <c r="B132" s="30">
        <f>B130+B131</f>
        <v>99957.89</v>
      </c>
      <c r="C132" s="30">
        <f>C130+C131</f>
        <v>433177.06999999995</v>
      </c>
      <c r="D132" s="30">
        <f>D130+D131</f>
        <v>422341.47</v>
      </c>
      <c r="E132" s="30">
        <f>E130+E131</f>
        <v>10835.599999999977</v>
      </c>
      <c r="F132" s="30">
        <f>F130+F131</f>
        <v>110793.48999999998</v>
      </c>
      <c r="G132" s="12"/>
      <c r="J132" s="68">
        <f>F132</f>
        <v>110793.48999999998</v>
      </c>
    </row>
    <row r="133" spans="1:7" ht="26.25" customHeight="1" outlineLevel="1">
      <c r="A133" s="29" t="s">
        <v>7</v>
      </c>
      <c r="B133" s="29">
        <f>140227.89+491.8</f>
        <v>140719.69</v>
      </c>
      <c r="C133" s="15">
        <f>489551.94+1010.58</f>
        <v>490562.52</v>
      </c>
      <c r="D133" s="15">
        <v>499001.18</v>
      </c>
      <c r="E133" s="11">
        <f t="shared" si="17"/>
        <v>-8438.659999999974</v>
      </c>
      <c r="F133" s="11">
        <f>E133+B133</f>
        <v>132281.03000000003</v>
      </c>
      <c r="G133" s="12">
        <f>D133</f>
        <v>499001.18</v>
      </c>
    </row>
    <row r="134" spans="1:7" ht="26.25" customHeight="1" outlineLevel="1">
      <c r="A134" s="29" t="s">
        <v>8</v>
      </c>
      <c r="B134" s="29">
        <v>23235.59</v>
      </c>
      <c r="C134" s="15">
        <v>87609.62</v>
      </c>
      <c r="D134" s="15">
        <v>88051.34</v>
      </c>
      <c r="E134" s="11">
        <f t="shared" si="17"/>
        <v>-441.72000000000116</v>
      </c>
      <c r="F134" s="11">
        <f>E134+B134</f>
        <v>22793.87</v>
      </c>
      <c r="G134" s="12">
        <f>D134</f>
        <v>88051.34</v>
      </c>
    </row>
    <row r="135" spans="1:7" ht="26.25" customHeight="1" outlineLevel="1">
      <c r="A135" s="29" t="s">
        <v>9</v>
      </c>
      <c r="B135" s="29"/>
      <c r="C135" s="15">
        <v>13761.34</v>
      </c>
      <c r="D135" s="12">
        <v>381.29</v>
      </c>
      <c r="E135" s="11">
        <f t="shared" si="17"/>
        <v>13380.05</v>
      </c>
      <c r="F135" s="11">
        <f>E135+B135</f>
        <v>13380.05</v>
      </c>
      <c r="G135" s="12" t="s">
        <v>23</v>
      </c>
    </row>
    <row r="136" spans="1:7" ht="38.25" customHeight="1" outlineLevel="1">
      <c r="A136" s="29" t="s">
        <v>10</v>
      </c>
      <c r="B136" s="29"/>
      <c r="C136" s="15">
        <v>7592.32</v>
      </c>
      <c r="D136" s="15">
        <v>6172.81</v>
      </c>
      <c r="E136" s="11">
        <f t="shared" si="17"/>
        <v>1419.5099999999993</v>
      </c>
      <c r="F136" s="11">
        <f>E136+B136</f>
        <v>1419.5099999999993</v>
      </c>
      <c r="G136" s="12" t="s">
        <v>23</v>
      </c>
    </row>
    <row r="137" spans="1:12" ht="38.25" customHeight="1" outlineLevel="1">
      <c r="A137" s="30" t="s">
        <v>33</v>
      </c>
      <c r="B137" s="30">
        <f>B134+B135+B136</f>
        <v>23235.59</v>
      </c>
      <c r="C137" s="30">
        <f>C134+C135+C136</f>
        <v>108963.28</v>
      </c>
      <c r="D137" s="30">
        <f>D134+D135+D136</f>
        <v>94605.43999999999</v>
      </c>
      <c r="E137" s="30">
        <f>E134+E135+E136</f>
        <v>14357.839999999997</v>
      </c>
      <c r="F137" s="30">
        <f>F134+F135+F136</f>
        <v>37593.43</v>
      </c>
      <c r="G137" s="12"/>
      <c r="L137" s="68">
        <f>F137</f>
        <v>37593.43</v>
      </c>
    </row>
    <row r="138" spans="1:7" ht="26.25" customHeight="1" outlineLevel="1">
      <c r="A138" s="29" t="s">
        <v>12</v>
      </c>
      <c r="B138" s="29">
        <v>80817.12</v>
      </c>
      <c r="C138" s="15">
        <v>303212.04</v>
      </c>
      <c r="D138" s="15">
        <v>304718.76</v>
      </c>
      <c r="E138" s="11">
        <f t="shared" si="17"/>
        <v>-1506.7200000000303</v>
      </c>
      <c r="F138" s="11">
        <f>E138+B138</f>
        <v>79310.39999999997</v>
      </c>
      <c r="G138" s="12">
        <f>D138</f>
        <v>304718.76</v>
      </c>
    </row>
    <row r="139" spans="1:7" ht="26.25" customHeight="1" outlineLevel="1">
      <c r="A139" s="29" t="s">
        <v>13</v>
      </c>
      <c r="B139" s="29"/>
      <c r="C139" s="15">
        <v>31170.52</v>
      </c>
      <c r="D139" s="15">
        <v>19333.56</v>
      </c>
      <c r="E139" s="11">
        <f t="shared" si="17"/>
        <v>11836.96</v>
      </c>
      <c r="F139" s="11">
        <f>E139+B139</f>
        <v>11836.96</v>
      </c>
      <c r="G139" s="12" t="s">
        <v>23</v>
      </c>
    </row>
    <row r="140" spans="1:7" ht="36" customHeight="1" outlineLevel="1">
      <c r="A140" s="29" t="s">
        <v>14</v>
      </c>
      <c r="B140" s="29"/>
      <c r="C140" s="15">
        <v>18966.8</v>
      </c>
      <c r="D140" s="15">
        <v>15312.58</v>
      </c>
      <c r="E140" s="11">
        <f t="shared" si="17"/>
        <v>3654.2199999999993</v>
      </c>
      <c r="F140" s="11">
        <f>E140+B140</f>
        <v>3654.2199999999993</v>
      </c>
      <c r="G140" s="12" t="s">
        <v>23</v>
      </c>
    </row>
    <row r="141" spans="1:13" ht="36" customHeight="1" outlineLevel="1">
      <c r="A141" s="30" t="s">
        <v>46</v>
      </c>
      <c r="B141" s="30">
        <f aca="true" t="shared" si="18" ref="B141:G141">B138+B139+B140</f>
        <v>80817.12</v>
      </c>
      <c r="C141" s="30">
        <f t="shared" si="18"/>
        <v>353349.36</v>
      </c>
      <c r="D141" s="30">
        <f t="shared" si="18"/>
        <v>339364.9</v>
      </c>
      <c r="E141" s="30">
        <f t="shared" si="18"/>
        <v>13984.459999999968</v>
      </c>
      <c r="F141" s="30">
        <f t="shared" si="18"/>
        <v>94801.57999999996</v>
      </c>
      <c r="G141" s="29" t="e">
        <f t="shared" si="18"/>
        <v>#VALUE!</v>
      </c>
      <c r="M141" s="68">
        <f>F141</f>
        <v>94801.57999999996</v>
      </c>
    </row>
    <row r="142" spans="1:7" ht="36" customHeight="1" hidden="1" outlineLevel="1">
      <c r="A142" s="28" t="s">
        <v>65</v>
      </c>
      <c r="B142" s="30"/>
      <c r="C142" s="30"/>
      <c r="D142" s="30"/>
      <c r="E142" s="11">
        <f>C142-D142</f>
        <v>0</v>
      </c>
      <c r="F142" s="11">
        <f>E142+B142</f>
        <v>0</v>
      </c>
      <c r="G142" s="29"/>
    </row>
    <row r="143" spans="1:7" ht="36" customHeight="1" outlineLevel="1">
      <c r="A143" s="61" t="s">
        <v>6</v>
      </c>
      <c r="B143" s="30"/>
      <c r="C143" s="30">
        <v>22934.31</v>
      </c>
      <c r="D143" s="30">
        <v>116.52</v>
      </c>
      <c r="E143" s="11">
        <f>C143-D143</f>
        <v>22817.79</v>
      </c>
      <c r="F143" s="11">
        <f>E143+B143</f>
        <v>22817.79</v>
      </c>
      <c r="G143" s="29"/>
    </row>
    <row r="144" spans="1:7" ht="36" customHeight="1" outlineLevel="1">
      <c r="A144" s="53" t="s">
        <v>81</v>
      </c>
      <c r="B144" s="54">
        <f aca="true" t="shared" si="19" ref="B144:G144">B129+B132+B133+B137+B141+B142+B143</f>
        <v>364273</v>
      </c>
      <c r="C144" s="54">
        <f t="shared" si="19"/>
        <v>1490889.4700000002</v>
      </c>
      <c r="D144" s="54">
        <f t="shared" si="19"/>
        <v>1435586.8399999999</v>
      </c>
      <c r="E144" s="54">
        <f t="shared" si="19"/>
        <v>55302.62999999997</v>
      </c>
      <c r="F144" s="54">
        <f t="shared" si="19"/>
        <v>419575.62999999995</v>
      </c>
      <c r="G144" s="54" t="e">
        <f t="shared" si="19"/>
        <v>#VALUE!</v>
      </c>
    </row>
    <row r="145" spans="1:7" ht="15" customHeight="1" outlineLevel="1">
      <c r="A145" s="53" t="s">
        <v>34</v>
      </c>
      <c r="B145" s="54"/>
      <c r="C145" s="54"/>
      <c r="D145" s="54"/>
      <c r="E145" s="54"/>
      <c r="F145" s="54"/>
      <c r="G145" s="29"/>
    </row>
    <row r="146" spans="1:7" ht="30" customHeight="1" outlineLevel="1">
      <c r="A146" s="53" t="s">
        <v>35</v>
      </c>
      <c r="B146" s="54">
        <f>B133</f>
        <v>140719.69</v>
      </c>
      <c r="C146" s="54">
        <f>C133</f>
        <v>490562.52</v>
      </c>
      <c r="D146" s="54">
        <f>D133</f>
        <v>499001.18</v>
      </c>
      <c r="E146" s="54">
        <f>E133</f>
        <v>-8438.659999999974</v>
      </c>
      <c r="F146" s="54">
        <f>F133</f>
        <v>132281.03000000003</v>
      </c>
      <c r="G146" s="29"/>
    </row>
    <row r="147" spans="1:7" ht="25.5" customHeight="1" outlineLevel="1">
      <c r="A147" s="53" t="s">
        <v>36</v>
      </c>
      <c r="B147" s="54">
        <f>B129+B132+B137+B141</f>
        <v>223553.31</v>
      </c>
      <c r="C147" s="54">
        <f>C129+C132+C137+C141</f>
        <v>977392.6399999999</v>
      </c>
      <c r="D147" s="54">
        <f>D129+D132+D137+D141</f>
        <v>936469.14</v>
      </c>
      <c r="E147" s="54">
        <f>E129+E132+E137+E141</f>
        <v>40923.49999999994</v>
      </c>
      <c r="F147" s="54">
        <f>F129+F132+F137+F141</f>
        <v>264476.80999999994</v>
      </c>
      <c r="G147" s="29"/>
    </row>
    <row r="148" spans="1:7" ht="29.25" customHeight="1" outlineLevel="1">
      <c r="A148" s="52" t="s">
        <v>58</v>
      </c>
      <c r="B148" s="54">
        <f>B142+B143</f>
        <v>0</v>
      </c>
      <c r="C148" s="54">
        <f>C142+C143</f>
        <v>22934.31</v>
      </c>
      <c r="D148" s="54">
        <f>D142+D143</f>
        <v>116.52</v>
      </c>
      <c r="E148" s="54">
        <f>E142+E143</f>
        <v>22817.79</v>
      </c>
      <c r="F148" s="54">
        <f>F142+F143</f>
        <v>22817.79</v>
      </c>
      <c r="G148" s="29"/>
    </row>
    <row r="149" spans="1:7" ht="26.25" customHeight="1">
      <c r="A149" s="72" t="s">
        <v>15</v>
      </c>
      <c r="B149" s="73"/>
      <c r="C149" s="73"/>
      <c r="D149" s="73"/>
      <c r="E149" s="73"/>
      <c r="F149" s="73"/>
      <c r="G149" s="73"/>
    </row>
    <row r="150" spans="1:7" ht="48" customHeight="1" outlineLevel="1">
      <c r="A150" s="37" t="s">
        <v>25</v>
      </c>
      <c r="B150" s="37" t="s">
        <v>72</v>
      </c>
      <c r="C150" s="37" t="s">
        <v>73</v>
      </c>
      <c r="D150" s="38" t="s">
        <v>74</v>
      </c>
      <c r="E150" s="39" t="s">
        <v>28</v>
      </c>
      <c r="F150" s="39" t="s">
        <v>75</v>
      </c>
      <c r="G150" s="19" t="s">
        <v>23</v>
      </c>
    </row>
    <row r="151" spans="1:7" ht="26.25" customHeight="1" outlineLevel="1">
      <c r="A151" s="22" t="s">
        <v>47</v>
      </c>
      <c r="B151" s="21"/>
      <c r="C151" s="14" t="s">
        <v>23</v>
      </c>
      <c r="D151" s="14"/>
      <c r="E151" s="10"/>
      <c r="F151" s="10"/>
      <c r="G151" s="10"/>
    </row>
    <row r="152" spans="1:9" ht="26.25" customHeight="1" outlineLevel="1">
      <c r="A152" s="21" t="s">
        <v>0</v>
      </c>
      <c r="B152" s="21">
        <v>4217.56</v>
      </c>
      <c r="C152" s="10">
        <f>80941.26</f>
        <v>80941.26</v>
      </c>
      <c r="D152" s="10">
        <f>76568.62</f>
        <v>76568.62</v>
      </c>
      <c r="E152" s="14">
        <f aca="true" t="shared" si="20" ref="E152:E172">C152-D152</f>
        <v>4372.639999999999</v>
      </c>
      <c r="F152" s="14">
        <f>E152+B152</f>
        <v>8590.2</v>
      </c>
      <c r="G152" s="14">
        <f>D152</f>
        <v>76568.62</v>
      </c>
      <c r="I152" s="68">
        <f>F152</f>
        <v>8590.2</v>
      </c>
    </row>
    <row r="153" spans="1:7" ht="36" customHeight="1" outlineLevel="1">
      <c r="A153" s="21" t="s">
        <v>16</v>
      </c>
      <c r="B153" s="21">
        <v>52544.16</v>
      </c>
      <c r="C153" s="10">
        <v>1691151.99</v>
      </c>
      <c r="D153" s="10">
        <v>1743183.13</v>
      </c>
      <c r="E153" s="14">
        <f t="shared" si="20"/>
        <v>-52031.1399999999</v>
      </c>
      <c r="F153" s="14">
        <f aca="true" t="shared" si="21" ref="F153:F172">E153+B153</f>
        <v>513.0200000001059</v>
      </c>
      <c r="G153" s="14" t="s">
        <v>23</v>
      </c>
    </row>
    <row r="154" spans="1:10" ht="26.25" customHeight="1" outlineLevel="1">
      <c r="A154" s="21" t="s">
        <v>2</v>
      </c>
      <c r="B154" s="21">
        <v>1278.25</v>
      </c>
      <c r="C154" s="10">
        <v>158.31</v>
      </c>
      <c r="D154" s="10">
        <v>204.61</v>
      </c>
      <c r="E154" s="14">
        <f t="shared" si="20"/>
        <v>-46.30000000000001</v>
      </c>
      <c r="F154" s="14">
        <f t="shared" si="21"/>
        <v>1231.95</v>
      </c>
      <c r="G154" s="14">
        <f>D154</f>
        <v>204.61</v>
      </c>
      <c r="J154" s="68">
        <f>F154</f>
        <v>1231.95</v>
      </c>
    </row>
    <row r="155" spans="1:11" ht="26.25" customHeight="1" outlineLevel="1">
      <c r="A155" s="21" t="s">
        <v>4</v>
      </c>
      <c r="B155" s="21">
        <v>309253.18</v>
      </c>
      <c r="C155" s="10">
        <v>-71851.27</v>
      </c>
      <c r="D155" s="10"/>
      <c r="E155" s="14">
        <f t="shared" si="20"/>
        <v>-71851.27</v>
      </c>
      <c r="F155" s="14">
        <f t="shared" si="21"/>
        <v>237401.90999999997</v>
      </c>
      <c r="G155" s="14">
        <f>D155</f>
        <v>0</v>
      </c>
      <c r="K155" s="68">
        <f>F155</f>
        <v>237401.90999999997</v>
      </c>
    </row>
    <row r="156" spans="1:7" ht="26.25" customHeight="1" outlineLevel="1">
      <c r="A156" s="21" t="s">
        <v>6</v>
      </c>
      <c r="B156" s="21"/>
      <c r="C156" s="10">
        <v>37855.72</v>
      </c>
      <c r="D156" s="10">
        <v>42641.87</v>
      </c>
      <c r="E156" s="14">
        <f t="shared" si="20"/>
        <v>-4786.1500000000015</v>
      </c>
      <c r="F156" s="14">
        <f t="shared" si="21"/>
        <v>-4786.1500000000015</v>
      </c>
      <c r="G156" s="14" t="s">
        <v>23</v>
      </c>
    </row>
    <row r="157" spans="1:7" ht="26.25" customHeight="1" outlineLevel="1">
      <c r="A157" s="21" t="s">
        <v>66</v>
      </c>
      <c r="B157" s="21"/>
      <c r="C157" s="10">
        <v>82778.04</v>
      </c>
      <c r="D157" s="10">
        <v>65552.54</v>
      </c>
      <c r="E157" s="14">
        <f t="shared" si="20"/>
        <v>17225.5</v>
      </c>
      <c r="F157" s="14">
        <f t="shared" si="21"/>
        <v>17225.5</v>
      </c>
      <c r="G157" s="14"/>
    </row>
    <row r="158" spans="1:7" ht="26.25" customHeight="1" outlineLevel="1">
      <c r="A158" s="21" t="s">
        <v>76</v>
      </c>
      <c r="B158" s="21"/>
      <c r="C158" s="10">
        <v>32042.4</v>
      </c>
      <c r="D158" s="10">
        <v>9996.85</v>
      </c>
      <c r="E158" s="14">
        <f t="shared" si="20"/>
        <v>22045.550000000003</v>
      </c>
      <c r="F158" s="14">
        <f t="shared" si="21"/>
        <v>22045.550000000003</v>
      </c>
      <c r="G158" s="14"/>
    </row>
    <row r="159" spans="1:7" ht="35.25" customHeight="1" outlineLevel="1">
      <c r="A159" s="21" t="s">
        <v>78</v>
      </c>
      <c r="B159" s="21"/>
      <c r="C159" s="10">
        <v>210.14</v>
      </c>
      <c r="D159" s="10">
        <v>74972.74</v>
      </c>
      <c r="E159" s="14">
        <f t="shared" si="20"/>
        <v>-74762.6</v>
      </c>
      <c r="F159" s="14">
        <f t="shared" si="21"/>
        <v>-74762.6</v>
      </c>
      <c r="G159" s="14"/>
    </row>
    <row r="160" spans="1:7" ht="26.25" customHeight="1" hidden="1" outlineLevel="1">
      <c r="A160" s="28" t="s">
        <v>65</v>
      </c>
      <c r="B160" s="21"/>
      <c r="C160" s="10"/>
      <c r="D160" s="10"/>
      <c r="E160" s="14">
        <f t="shared" si="20"/>
        <v>0</v>
      </c>
      <c r="F160" s="14">
        <f t="shared" si="21"/>
        <v>0</v>
      </c>
      <c r="G160" s="14"/>
    </row>
    <row r="161" spans="1:7" ht="26.25" customHeight="1" outlineLevel="1">
      <c r="A161" s="21" t="s">
        <v>7</v>
      </c>
      <c r="B161" s="21">
        <v>202954.11</v>
      </c>
      <c r="C161" s="10">
        <v>1512348.37</v>
      </c>
      <c r="D161" s="10">
        <v>2071790.05</v>
      </c>
      <c r="E161" s="14">
        <f t="shared" si="20"/>
        <v>-559441.6799999999</v>
      </c>
      <c r="F161" s="14">
        <f t="shared" si="21"/>
        <v>-356487.56999999995</v>
      </c>
      <c r="G161" s="14">
        <f>D161</f>
        <v>2071790.05</v>
      </c>
    </row>
    <row r="162" spans="1:7" ht="35.25" customHeight="1" outlineLevel="1">
      <c r="A162" s="21" t="s">
        <v>17</v>
      </c>
      <c r="B162" s="21">
        <v>92381.12</v>
      </c>
      <c r="C162" s="10">
        <v>1672589.47</v>
      </c>
      <c r="D162" s="10">
        <v>1618907.55</v>
      </c>
      <c r="E162" s="14">
        <f t="shared" si="20"/>
        <v>53681.919999999925</v>
      </c>
      <c r="F162" s="14">
        <f t="shared" si="21"/>
        <v>146063.03999999992</v>
      </c>
      <c r="G162" s="14" t="s">
        <v>23</v>
      </c>
    </row>
    <row r="163" spans="1:7" ht="38.25" customHeight="1" outlineLevel="1">
      <c r="A163" s="21" t="s">
        <v>18</v>
      </c>
      <c r="B163" s="21">
        <v>11766.15</v>
      </c>
      <c r="C163" s="10">
        <v>220359.86</v>
      </c>
      <c r="D163" s="10">
        <v>209347.56</v>
      </c>
      <c r="E163" s="14">
        <f t="shared" si="20"/>
        <v>11012.299999999988</v>
      </c>
      <c r="F163" s="14">
        <f t="shared" si="21"/>
        <v>22778.44999999999</v>
      </c>
      <c r="G163" s="14" t="s">
        <v>23</v>
      </c>
    </row>
    <row r="164" spans="1:7" ht="44.25" customHeight="1" outlineLevel="1">
      <c r="A164" s="21" t="s">
        <v>19</v>
      </c>
      <c r="B164" s="21">
        <v>46391.13</v>
      </c>
      <c r="C164" s="10">
        <v>867320.99</v>
      </c>
      <c r="D164" s="10">
        <v>829753.59</v>
      </c>
      <c r="E164" s="14">
        <f t="shared" si="20"/>
        <v>37567.40000000002</v>
      </c>
      <c r="F164" s="14">
        <f t="shared" si="21"/>
        <v>83958.53000000003</v>
      </c>
      <c r="G164" s="14" t="s">
        <v>23</v>
      </c>
    </row>
    <row r="165" spans="1:7" ht="26.25" customHeight="1" outlineLevel="1">
      <c r="A165" s="20" t="s">
        <v>20</v>
      </c>
      <c r="B165" s="20">
        <v>2093.18</v>
      </c>
      <c r="C165" s="15">
        <v>37916.12</v>
      </c>
      <c r="D165" s="15">
        <v>36794.82</v>
      </c>
      <c r="E165" s="14">
        <f t="shared" si="20"/>
        <v>1121.300000000003</v>
      </c>
      <c r="F165" s="14">
        <f t="shared" si="21"/>
        <v>3214.4800000000027</v>
      </c>
      <c r="G165" s="12" t="s">
        <v>23</v>
      </c>
    </row>
    <row r="166" spans="1:7" ht="33.75" customHeight="1" outlineLevel="1">
      <c r="A166" s="20" t="s">
        <v>11</v>
      </c>
      <c r="B166" s="20">
        <v>20463.55</v>
      </c>
      <c r="C166" s="15">
        <v>288470.52</v>
      </c>
      <c r="D166" s="15">
        <v>280384.71</v>
      </c>
      <c r="E166" s="14">
        <f t="shared" si="20"/>
        <v>8085.809999999998</v>
      </c>
      <c r="F166" s="14">
        <f t="shared" si="21"/>
        <v>28549.359999999997</v>
      </c>
      <c r="G166" s="12" t="s">
        <v>23</v>
      </c>
    </row>
    <row r="167" spans="1:12" ht="26.25" customHeight="1" outlineLevel="1">
      <c r="A167" s="20" t="s">
        <v>8</v>
      </c>
      <c r="B167" s="20">
        <v>8248.54</v>
      </c>
      <c r="C167" s="15">
        <f>98060.92+59900.45+15653.41</f>
        <v>173614.78</v>
      </c>
      <c r="D167" s="15">
        <f>56989.44+93026.37+14871.38</f>
        <v>164887.19</v>
      </c>
      <c r="E167" s="14">
        <f t="shared" si="20"/>
        <v>8727.589999999997</v>
      </c>
      <c r="F167" s="14">
        <f t="shared" si="21"/>
        <v>16976.129999999997</v>
      </c>
      <c r="G167" s="12">
        <f>D167</f>
        <v>164887.19</v>
      </c>
      <c r="L167" s="68">
        <f>F167</f>
        <v>16976.129999999997</v>
      </c>
    </row>
    <row r="168" spans="1:7" ht="30.75" customHeight="1" outlineLevel="1">
      <c r="A168" s="20" t="s">
        <v>79</v>
      </c>
      <c r="B168" s="20"/>
      <c r="C168" s="15">
        <v>-5853.73</v>
      </c>
      <c r="D168" s="15">
        <v>35.17</v>
      </c>
      <c r="E168" s="14">
        <f t="shared" si="20"/>
        <v>-5888.9</v>
      </c>
      <c r="F168" s="14">
        <f t="shared" si="21"/>
        <v>-5888.9</v>
      </c>
      <c r="G168" s="12"/>
    </row>
    <row r="169" spans="1:13" ht="26.25" customHeight="1" outlineLevel="1">
      <c r="A169" s="20" t="s">
        <v>80</v>
      </c>
      <c r="B169" s="20"/>
      <c r="C169" s="15">
        <v>22096.84</v>
      </c>
      <c r="D169" s="15">
        <v>0</v>
      </c>
      <c r="E169" s="14">
        <f t="shared" si="20"/>
        <v>22096.84</v>
      </c>
      <c r="F169" s="14">
        <f t="shared" si="21"/>
        <v>22096.84</v>
      </c>
      <c r="G169" s="12"/>
      <c r="M169" s="68">
        <f>F168+F169+F170+F171+F172</f>
        <v>105410.33000000007</v>
      </c>
    </row>
    <row r="170" spans="1:7" ht="26.25" customHeight="1" outlineLevel="1">
      <c r="A170" s="20" t="s">
        <v>12</v>
      </c>
      <c r="B170" s="20">
        <v>19577</v>
      </c>
      <c r="C170" s="15">
        <f>337371.15</f>
        <v>337371.15</v>
      </c>
      <c r="D170" s="15">
        <v>330070.1</v>
      </c>
      <c r="E170" s="14">
        <f t="shared" si="20"/>
        <v>7301.050000000047</v>
      </c>
      <c r="F170" s="14">
        <f t="shared" si="21"/>
        <v>26878.050000000047</v>
      </c>
      <c r="G170" s="12">
        <f>D170</f>
        <v>330070.1</v>
      </c>
    </row>
    <row r="171" spans="1:7" ht="29.25" customHeight="1" outlineLevel="1">
      <c r="A171" s="20" t="s">
        <v>84</v>
      </c>
      <c r="B171" s="20">
        <v>19577</v>
      </c>
      <c r="C171" s="15">
        <v>311432.81</v>
      </c>
      <c r="D171" s="15">
        <v>303272.74</v>
      </c>
      <c r="E171" s="14">
        <f t="shared" si="20"/>
        <v>8160.070000000007</v>
      </c>
      <c r="F171" s="14">
        <f t="shared" si="21"/>
        <v>27737.070000000007</v>
      </c>
      <c r="G171" s="12"/>
    </row>
    <row r="172" spans="1:7" ht="35.25" customHeight="1" outlineLevel="1">
      <c r="A172" s="20" t="s">
        <v>77</v>
      </c>
      <c r="B172" s="20">
        <v>19516</v>
      </c>
      <c r="C172" s="15">
        <f>311643.41</f>
        <v>311643.41</v>
      </c>
      <c r="D172" s="15">
        <f>296536.97+35.17</f>
        <v>296572.13999999996</v>
      </c>
      <c r="E172" s="14">
        <f t="shared" si="20"/>
        <v>15071.270000000019</v>
      </c>
      <c r="F172" s="14">
        <f t="shared" si="21"/>
        <v>34587.27000000002</v>
      </c>
      <c r="G172" s="12"/>
    </row>
    <row r="173" spans="1:9" ht="37.5" customHeight="1" outlineLevel="1">
      <c r="A173" s="53" t="s">
        <v>81</v>
      </c>
      <c r="B173" s="54">
        <f>SUM(B152:B172)</f>
        <v>810260.9300000002</v>
      </c>
      <c r="C173" s="54">
        <f>SUM(C152:C172)</f>
        <v>7602597.18</v>
      </c>
      <c r="D173" s="54">
        <f>SUM(D152:D172)</f>
        <v>8154935.9799999995</v>
      </c>
      <c r="E173" s="54">
        <f>SUM(E152:E172)</f>
        <v>-552338.8</v>
      </c>
      <c r="F173" s="54">
        <f>SUM(F152:F172)</f>
        <v>257922.13000000015</v>
      </c>
      <c r="G173" s="54">
        <f>SUM(G151:G170)</f>
        <v>2643520.5700000003</v>
      </c>
      <c r="I173" s="68"/>
    </row>
    <row r="174" spans="1:9" ht="26.25" customHeight="1" outlineLevel="1">
      <c r="A174" s="53" t="s">
        <v>34</v>
      </c>
      <c r="B174" s="54"/>
      <c r="C174" s="54"/>
      <c r="D174" s="54"/>
      <c r="E174" s="54"/>
      <c r="F174" s="54"/>
      <c r="G174" s="12"/>
      <c r="I174" s="68"/>
    </row>
    <row r="175" spans="1:9" ht="26.25" customHeight="1" outlineLevel="1">
      <c r="A175" s="53" t="s">
        <v>35</v>
      </c>
      <c r="B175" s="54">
        <f>B161</f>
        <v>202954.11</v>
      </c>
      <c r="C175" s="54">
        <f>C161</f>
        <v>1512348.37</v>
      </c>
      <c r="D175" s="54">
        <f>D161</f>
        <v>2071790.05</v>
      </c>
      <c r="E175" s="54">
        <f>E161</f>
        <v>-559441.6799999999</v>
      </c>
      <c r="F175" s="54">
        <f>F161</f>
        <v>-356487.56999999995</v>
      </c>
      <c r="G175" s="12"/>
      <c r="I175" s="68"/>
    </row>
    <row r="176" spans="1:9" ht="26.25" customHeight="1" outlineLevel="1">
      <c r="A176" s="53" t="s">
        <v>36</v>
      </c>
      <c r="B176" s="54">
        <f>B152+B154+B155+B167+B168+B169+B170+B171+B172</f>
        <v>381667.52999999997</v>
      </c>
      <c r="C176" s="54">
        <f aca="true" t="shared" si="22" ref="C176:H176">C152+C154+C155+C167+C168+C169+C170+C171+C172</f>
        <v>1159553.5599999998</v>
      </c>
      <c r="D176" s="54">
        <f t="shared" si="22"/>
        <v>1171610.5699999998</v>
      </c>
      <c r="E176" s="54">
        <f t="shared" si="22"/>
        <v>-12057.009999999937</v>
      </c>
      <c r="F176" s="54">
        <f t="shared" si="22"/>
        <v>369610.52</v>
      </c>
      <c r="G176" s="54">
        <f t="shared" si="22"/>
        <v>571730.52</v>
      </c>
      <c r="H176" s="54">
        <f t="shared" si="22"/>
        <v>0</v>
      </c>
      <c r="I176" s="68"/>
    </row>
    <row r="177" spans="1:9" ht="26.25" customHeight="1" outlineLevel="1">
      <c r="A177" s="53" t="s">
        <v>48</v>
      </c>
      <c r="B177" s="54">
        <f>B153+B156+B157+B158+B159+B162+B163+B164+B165+B166</f>
        <v>225639.28999999998</v>
      </c>
      <c r="C177" s="54">
        <f aca="true" t="shared" si="23" ref="C177:H177">C153+C156+C157+C158+C159+C162+C163+C164+C165+C166</f>
        <v>4930695.25</v>
      </c>
      <c r="D177" s="54">
        <f t="shared" si="23"/>
        <v>4911535.36</v>
      </c>
      <c r="E177" s="54">
        <f t="shared" si="23"/>
        <v>19159.89000000003</v>
      </c>
      <c r="F177" s="54">
        <f t="shared" si="23"/>
        <v>244799.18000000002</v>
      </c>
      <c r="G177" s="54" t="e">
        <f t="shared" si="23"/>
        <v>#VALUE!</v>
      </c>
      <c r="H177" s="54">
        <f t="shared" si="23"/>
        <v>0</v>
      </c>
      <c r="I177" s="68"/>
    </row>
    <row r="178" spans="1:7" ht="56.25" customHeight="1" outlineLevel="1">
      <c r="A178" s="37" t="s">
        <v>25</v>
      </c>
      <c r="B178" s="37" t="s">
        <v>72</v>
      </c>
      <c r="C178" s="37" t="s">
        <v>73</v>
      </c>
      <c r="D178" s="38" t="s">
        <v>74</v>
      </c>
      <c r="E178" s="39" t="s">
        <v>28</v>
      </c>
      <c r="F178" s="39" t="s">
        <v>75</v>
      </c>
      <c r="G178" s="19" t="s">
        <v>23</v>
      </c>
    </row>
    <row r="179" spans="1:7" ht="26.25" customHeight="1" outlineLevel="1">
      <c r="A179" s="16" t="s">
        <v>49</v>
      </c>
      <c r="B179" s="20"/>
      <c r="C179" s="12" t="s">
        <v>23</v>
      </c>
      <c r="D179" s="12"/>
      <c r="E179" s="10"/>
      <c r="F179" s="10"/>
      <c r="G179" s="10"/>
    </row>
    <row r="180" spans="1:7" ht="26.25" customHeight="1" outlineLevel="1">
      <c r="A180" s="20" t="s">
        <v>0</v>
      </c>
      <c r="B180" s="20">
        <v>16419.5</v>
      </c>
      <c r="C180" s="15">
        <v>228515.07</v>
      </c>
      <c r="D180" s="15">
        <v>215928.78</v>
      </c>
      <c r="E180" s="12">
        <f aca="true" t="shared" si="24" ref="E180:E192">C180-D180</f>
        <v>12586.290000000008</v>
      </c>
      <c r="F180" s="12">
        <f>E180+B180</f>
        <v>29005.790000000008</v>
      </c>
      <c r="G180" s="12">
        <f>D180</f>
        <v>215928.78</v>
      </c>
    </row>
    <row r="181" spans="1:7" ht="28.5" customHeight="1" outlineLevel="1">
      <c r="A181" s="20" t="s">
        <v>1</v>
      </c>
      <c r="B181" s="20"/>
      <c r="C181" s="15">
        <v>13537.43</v>
      </c>
      <c r="D181" s="15">
        <v>12341.43</v>
      </c>
      <c r="E181" s="12">
        <f t="shared" si="24"/>
        <v>1196</v>
      </c>
      <c r="F181" s="12">
        <f>E181+B181</f>
        <v>1196</v>
      </c>
      <c r="G181" s="12" t="s">
        <v>23</v>
      </c>
    </row>
    <row r="182" spans="1:9" ht="28.5" customHeight="1" outlineLevel="1">
      <c r="A182" s="30" t="s">
        <v>29</v>
      </c>
      <c r="B182" s="16">
        <f>B180+B181</f>
        <v>16419.5</v>
      </c>
      <c r="C182" s="16">
        <f>C180+C181</f>
        <v>242052.5</v>
      </c>
      <c r="D182" s="16">
        <f>D180+D181</f>
        <v>228270.21</v>
      </c>
      <c r="E182" s="16">
        <f>E180+E181</f>
        <v>13782.290000000008</v>
      </c>
      <c r="F182" s="16">
        <f>F180+F181</f>
        <v>30201.790000000008</v>
      </c>
      <c r="G182" s="12"/>
      <c r="I182" s="68">
        <f>F182</f>
        <v>30201.790000000008</v>
      </c>
    </row>
    <row r="183" spans="1:7" ht="27" customHeight="1" outlineLevel="1">
      <c r="A183" s="20" t="s">
        <v>2</v>
      </c>
      <c r="B183" s="20">
        <f>78993.31-246.17</f>
        <v>78747.14</v>
      </c>
      <c r="C183" s="15">
        <f>1051530.47-2125.14</f>
        <v>1049405.33</v>
      </c>
      <c r="D183" s="15">
        <v>1007104.04</v>
      </c>
      <c r="E183" s="12">
        <f t="shared" si="24"/>
        <v>42301.29000000004</v>
      </c>
      <c r="F183" s="12">
        <f>E183+B183</f>
        <v>121048.43000000004</v>
      </c>
      <c r="G183" s="12">
        <f>D183</f>
        <v>1007104.04</v>
      </c>
    </row>
    <row r="184" spans="1:7" ht="31.5" customHeight="1" outlineLevel="1">
      <c r="A184" s="20" t="s">
        <v>3</v>
      </c>
      <c r="B184" s="20"/>
      <c r="C184" s="15">
        <v>69444.98</v>
      </c>
      <c r="D184" s="15">
        <v>63566.8</v>
      </c>
      <c r="E184" s="12">
        <f t="shared" si="24"/>
        <v>5878.179999999993</v>
      </c>
      <c r="F184" s="12">
        <f>E184+B184</f>
        <v>5878.179999999993</v>
      </c>
      <c r="G184" s="12" t="s">
        <v>23</v>
      </c>
    </row>
    <row r="185" spans="1:10" ht="31.5" customHeight="1" outlineLevel="1">
      <c r="A185" s="30" t="s">
        <v>31</v>
      </c>
      <c r="B185" s="16">
        <f aca="true" t="shared" si="25" ref="B185:G185">B183+B184</f>
        <v>78747.14</v>
      </c>
      <c r="C185" s="16">
        <f t="shared" si="25"/>
        <v>1118850.31</v>
      </c>
      <c r="D185" s="16">
        <f t="shared" si="25"/>
        <v>1070670.84</v>
      </c>
      <c r="E185" s="16">
        <f t="shared" si="25"/>
        <v>48179.47000000003</v>
      </c>
      <c r="F185" s="16">
        <f t="shared" si="25"/>
        <v>126926.61000000003</v>
      </c>
      <c r="G185" s="20" t="e">
        <f t="shared" si="25"/>
        <v>#VALUE!</v>
      </c>
      <c r="J185" s="68">
        <f>F185</f>
        <v>126926.61000000003</v>
      </c>
    </row>
    <row r="186" spans="1:7" ht="26.25" customHeight="1" outlineLevel="1">
      <c r="A186" s="20" t="s">
        <v>4</v>
      </c>
      <c r="B186" s="20">
        <v>218011.73</v>
      </c>
      <c r="C186" s="15">
        <v>2964247.31</v>
      </c>
      <c r="D186" s="15">
        <v>2849215.65</v>
      </c>
      <c r="E186" s="12">
        <f t="shared" si="24"/>
        <v>115031.66000000015</v>
      </c>
      <c r="F186" s="12">
        <f>E186+B186</f>
        <v>333043.39000000013</v>
      </c>
      <c r="G186" s="12">
        <f>D186</f>
        <v>2849215.65</v>
      </c>
    </row>
    <row r="187" spans="1:7" ht="26.25" customHeight="1" outlineLevel="1">
      <c r="A187" s="20" t="s">
        <v>5</v>
      </c>
      <c r="B187" s="20"/>
      <c r="C187" s="15">
        <v>8165.65</v>
      </c>
      <c r="D187" s="15"/>
      <c r="E187" s="12">
        <f t="shared" si="24"/>
        <v>8165.65</v>
      </c>
      <c r="F187" s="12">
        <f>E187+B187</f>
        <v>8165.65</v>
      </c>
      <c r="G187" s="12" t="s">
        <v>23</v>
      </c>
    </row>
    <row r="188" spans="1:11" ht="26.25" customHeight="1" outlineLevel="1">
      <c r="A188" s="30" t="s">
        <v>50</v>
      </c>
      <c r="B188" s="16">
        <f>B186+B187</f>
        <v>218011.73</v>
      </c>
      <c r="C188" s="16">
        <f>C186+C187</f>
        <v>2972412.96</v>
      </c>
      <c r="D188" s="16">
        <f>D186+D187</f>
        <v>2849215.65</v>
      </c>
      <c r="E188" s="16">
        <f>E186+E187</f>
        <v>123197.31000000014</v>
      </c>
      <c r="F188" s="16">
        <f>F186+F187</f>
        <v>341209.04000000015</v>
      </c>
      <c r="G188" s="12"/>
      <c r="K188" s="68">
        <f>F188</f>
        <v>341209.04000000015</v>
      </c>
    </row>
    <row r="189" spans="1:7" ht="26.25" customHeight="1" outlineLevel="1">
      <c r="A189" s="20" t="s">
        <v>7</v>
      </c>
      <c r="B189" s="20">
        <v>155889.29</v>
      </c>
      <c r="C189" s="15">
        <f>1738689.9+1496.68</f>
        <v>1740186.5799999998</v>
      </c>
      <c r="D189" s="15">
        <v>1826380.66</v>
      </c>
      <c r="E189" s="12">
        <f t="shared" si="24"/>
        <v>-86194.08000000007</v>
      </c>
      <c r="F189" s="12">
        <f>E189+B189</f>
        <v>69695.20999999993</v>
      </c>
      <c r="G189" s="12">
        <f>D189</f>
        <v>1826380.66</v>
      </c>
    </row>
    <row r="190" spans="1:7" ht="26.25" customHeight="1" outlineLevel="1">
      <c r="A190" s="20" t="s">
        <v>8</v>
      </c>
      <c r="B190" s="20">
        <v>20378.34</v>
      </c>
      <c r="C190" s="15">
        <v>288453.09</v>
      </c>
      <c r="D190" s="15">
        <v>272685.85</v>
      </c>
      <c r="E190" s="12">
        <f t="shared" si="24"/>
        <v>15767.240000000049</v>
      </c>
      <c r="F190" s="12">
        <f>E190+B190</f>
        <v>36145.580000000045</v>
      </c>
      <c r="G190" s="12">
        <f>D190</f>
        <v>272685.85</v>
      </c>
    </row>
    <row r="191" spans="1:7" ht="26.25" customHeight="1" outlineLevel="1">
      <c r="A191" s="20" t="s">
        <v>9</v>
      </c>
      <c r="B191" s="20"/>
      <c r="C191" s="15">
        <v>8832.78</v>
      </c>
      <c r="D191" s="15">
        <v>8175.23</v>
      </c>
      <c r="E191" s="12">
        <f t="shared" si="24"/>
        <v>657.5500000000011</v>
      </c>
      <c r="F191" s="12">
        <f>E191+B191</f>
        <v>657.5500000000011</v>
      </c>
      <c r="G191" s="12" t="s">
        <v>23</v>
      </c>
    </row>
    <row r="192" spans="1:7" ht="31.5" customHeight="1" outlineLevel="1">
      <c r="A192" s="20" t="s">
        <v>10</v>
      </c>
      <c r="B192" s="20"/>
      <c r="C192" s="15">
        <v>15710.93</v>
      </c>
      <c r="D192" s="15">
        <v>14439.44</v>
      </c>
      <c r="E192" s="12">
        <f t="shared" si="24"/>
        <v>1271.4899999999998</v>
      </c>
      <c r="F192" s="12">
        <f>E192+B192</f>
        <v>1271.4899999999998</v>
      </c>
      <c r="G192" s="12" t="s">
        <v>23</v>
      </c>
    </row>
    <row r="193" spans="1:12" ht="42" customHeight="1">
      <c r="A193" s="30" t="s">
        <v>33</v>
      </c>
      <c r="B193" s="16">
        <f>SUM(B190:B192)</f>
        <v>20378.34</v>
      </c>
      <c r="C193" s="16">
        <f>SUM(C190:C192)</f>
        <v>312996.80000000005</v>
      </c>
      <c r="D193" s="16">
        <f>SUM(D190:D192)</f>
        <v>295300.51999999996</v>
      </c>
      <c r="E193" s="16">
        <f>SUM(E190:E192)</f>
        <v>17696.28000000005</v>
      </c>
      <c r="F193" s="16">
        <f>SUM(F190:F192)</f>
        <v>38074.620000000046</v>
      </c>
      <c r="G193" s="17" t="e">
        <f>SUM(G180:G192)</f>
        <v>#VALUE!</v>
      </c>
      <c r="L193" s="68">
        <f>F193</f>
        <v>38074.620000000046</v>
      </c>
    </row>
    <row r="194" spans="1:7" ht="42" customHeight="1">
      <c r="A194" s="62" t="s">
        <v>6</v>
      </c>
      <c r="B194" s="16"/>
      <c r="C194" s="15">
        <v>28695.53</v>
      </c>
      <c r="D194" s="15">
        <v>5078.96</v>
      </c>
      <c r="E194" s="12">
        <f>C194-D194</f>
        <v>23616.57</v>
      </c>
      <c r="F194" s="12">
        <f>E194+B194</f>
        <v>23616.57</v>
      </c>
      <c r="G194" s="55"/>
    </row>
    <row r="195" spans="1:7" ht="42" customHeight="1">
      <c r="A195" s="53" t="s">
        <v>81</v>
      </c>
      <c r="B195" s="54">
        <f>B182+B185+B188+B193+B189+B194</f>
        <v>489446</v>
      </c>
      <c r="C195" s="54">
        <f>C182+C185+C188+C193+C189+C194</f>
        <v>6415194.68</v>
      </c>
      <c r="D195" s="54">
        <f>D182+D185+D188+D193+D189+D194</f>
        <v>6274916.84</v>
      </c>
      <c r="E195" s="54">
        <f>E182+E185+E188+E193+E189+E194</f>
        <v>140277.84000000017</v>
      </c>
      <c r="F195" s="54">
        <f>F182+F185+F188+F193+F189+F194</f>
        <v>629723.8400000001</v>
      </c>
      <c r="G195" s="55"/>
    </row>
    <row r="196" spans="1:7" ht="18.75" customHeight="1">
      <c r="A196" s="53" t="s">
        <v>34</v>
      </c>
      <c r="B196" s="54"/>
      <c r="C196" s="54"/>
      <c r="D196" s="54"/>
      <c r="E196" s="54"/>
      <c r="F196" s="54"/>
      <c r="G196" s="55"/>
    </row>
    <row r="197" spans="1:7" ht="24.75" customHeight="1">
      <c r="A197" s="53" t="s">
        <v>35</v>
      </c>
      <c r="B197" s="54">
        <f>B189</f>
        <v>155889.29</v>
      </c>
      <c r="C197" s="54">
        <f>C189</f>
        <v>1740186.5799999998</v>
      </c>
      <c r="D197" s="54">
        <f>D189</f>
        <v>1826380.66</v>
      </c>
      <c r="E197" s="54">
        <f>E189</f>
        <v>-86194.08000000007</v>
      </c>
      <c r="F197" s="54">
        <f>F189</f>
        <v>69695.20999999993</v>
      </c>
      <c r="G197" s="55"/>
    </row>
    <row r="198" spans="1:7" ht="27.75" customHeight="1">
      <c r="A198" s="53" t="s">
        <v>36</v>
      </c>
      <c r="B198" s="54">
        <f>B182+B185+B188+B193</f>
        <v>333556.71</v>
      </c>
      <c r="C198" s="54">
        <f>C182+C185+C188+C193</f>
        <v>4646312.569999999</v>
      </c>
      <c r="D198" s="54">
        <f>D182+D185+D188+D193</f>
        <v>4443457.22</v>
      </c>
      <c r="E198" s="54">
        <f>E182+E185+E188+E193</f>
        <v>202855.35000000024</v>
      </c>
      <c r="F198" s="54">
        <f>F182+F185+F188+F193</f>
        <v>536412.0600000002</v>
      </c>
      <c r="G198" s="55"/>
    </row>
    <row r="199" spans="1:7" ht="27.75" customHeight="1">
      <c r="A199" s="52" t="s">
        <v>58</v>
      </c>
      <c r="B199" s="54">
        <f>B194</f>
        <v>0</v>
      </c>
      <c r="C199" s="54">
        <f>C194</f>
        <v>28695.53</v>
      </c>
      <c r="D199" s="54">
        <f>D194</f>
        <v>5078.96</v>
      </c>
      <c r="E199" s="54">
        <f>E194</f>
        <v>23616.57</v>
      </c>
      <c r="F199" s="54">
        <f>F194</f>
        <v>23616.57</v>
      </c>
      <c r="G199" s="55"/>
    </row>
    <row r="200" spans="1:7" ht="50.25" customHeight="1" outlineLevel="1">
      <c r="A200" s="37" t="s">
        <v>25</v>
      </c>
      <c r="B200" s="37" t="s">
        <v>72</v>
      </c>
      <c r="C200" s="37" t="s">
        <v>73</v>
      </c>
      <c r="D200" s="38" t="s">
        <v>74</v>
      </c>
      <c r="E200" s="39" t="s">
        <v>28</v>
      </c>
      <c r="F200" s="39" t="s">
        <v>75</v>
      </c>
      <c r="G200" s="19" t="s">
        <v>23</v>
      </c>
    </row>
    <row r="201" spans="1:7" ht="26.25" customHeight="1" outlineLevel="1">
      <c r="A201" s="16" t="s">
        <v>51</v>
      </c>
      <c r="B201" s="20"/>
      <c r="C201" s="12"/>
      <c r="D201" s="12"/>
      <c r="E201" s="10"/>
      <c r="F201" s="10"/>
      <c r="G201" s="10"/>
    </row>
    <row r="202" spans="1:7" ht="26.25" customHeight="1" outlineLevel="1">
      <c r="A202" s="20" t="s">
        <v>0</v>
      </c>
      <c r="B202" s="20">
        <v>12061.64</v>
      </c>
      <c r="C202" s="15">
        <v>148220.38</v>
      </c>
      <c r="D202" s="15">
        <v>151330.92</v>
      </c>
      <c r="E202" s="12">
        <f aca="true" t="shared" si="26" ref="E202:E213">C202-D202</f>
        <v>-3110.540000000008</v>
      </c>
      <c r="F202" s="12">
        <f>E202+B202</f>
        <v>8951.099999999991</v>
      </c>
      <c r="G202" s="12">
        <f>D202</f>
        <v>151330.92</v>
      </c>
    </row>
    <row r="203" spans="1:7" ht="32.25" customHeight="1" outlineLevel="1">
      <c r="A203" s="20" t="s">
        <v>1</v>
      </c>
      <c r="B203" s="20"/>
      <c r="C203" s="15">
        <v>8024.91</v>
      </c>
      <c r="D203" s="15">
        <v>7289.65</v>
      </c>
      <c r="E203" s="12">
        <f t="shared" si="26"/>
        <v>735.2600000000002</v>
      </c>
      <c r="F203" s="12">
        <f>E203+B203</f>
        <v>735.2600000000002</v>
      </c>
      <c r="G203" s="12" t="s">
        <v>23</v>
      </c>
    </row>
    <row r="204" spans="1:9" ht="32.25" customHeight="1" outlineLevel="1">
      <c r="A204" s="30" t="s">
        <v>29</v>
      </c>
      <c r="B204" s="30">
        <f>B202+B203</f>
        <v>12061.64</v>
      </c>
      <c r="C204" s="30">
        <f>C202+C203</f>
        <v>156245.29</v>
      </c>
      <c r="D204" s="30">
        <f>D202+D203</f>
        <v>158620.57</v>
      </c>
      <c r="E204" s="30">
        <f>E202+E203</f>
        <v>-2375.280000000008</v>
      </c>
      <c r="F204" s="30">
        <f>F202+F203</f>
        <v>9686.359999999991</v>
      </c>
      <c r="G204" s="12"/>
      <c r="I204" s="68">
        <f>F204</f>
        <v>9686.359999999991</v>
      </c>
    </row>
    <row r="205" spans="1:7" ht="26.25" customHeight="1" outlineLevel="1">
      <c r="A205" s="20" t="s">
        <v>2</v>
      </c>
      <c r="B205" s="20">
        <v>65422.61</v>
      </c>
      <c r="C205" s="15">
        <f>770242.7+34512.66</f>
        <v>804755.36</v>
      </c>
      <c r="D205" s="15">
        <v>770776.35</v>
      </c>
      <c r="E205" s="12">
        <f t="shared" si="26"/>
        <v>33979.01000000001</v>
      </c>
      <c r="F205" s="12">
        <f>E205+B205</f>
        <v>99401.62000000001</v>
      </c>
      <c r="G205" s="12">
        <f>D205</f>
        <v>770776.35</v>
      </c>
    </row>
    <row r="206" spans="1:7" ht="26.25" customHeight="1" outlineLevel="1">
      <c r="A206" s="20" t="s">
        <v>21</v>
      </c>
      <c r="B206" s="20"/>
      <c r="C206" s="12">
        <v>71640.63</v>
      </c>
      <c r="D206" s="12"/>
      <c r="E206" s="12">
        <f t="shared" si="26"/>
        <v>71640.63</v>
      </c>
      <c r="F206" s="12">
        <f>E206+B206</f>
        <v>71640.63</v>
      </c>
      <c r="G206" s="12" t="s">
        <v>23</v>
      </c>
    </row>
    <row r="207" spans="1:7" ht="28.5" customHeight="1" outlineLevel="1">
      <c r="A207" s="20" t="s">
        <v>3</v>
      </c>
      <c r="B207" s="20"/>
      <c r="C207" s="15">
        <v>47475.3</v>
      </c>
      <c r="D207" s="15">
        <v>43249.94</v>
      </c>
      <c r="E207" s="12">
        <f t="shared" si="26"/>
        <v>4225.360000000001</v>
      </c>
      <c r="F207" s="12">
        <f>E207+B207</f>
        <v>4225.360000000001</v>
      </c>
      <c r="G207" s="12" t="s">
        <v>23</v>
      </c>
    </row>
    <row r="208" spans="1:10" ht="38.25" customHeight="1" outlineLevel="1">
      <c r="A208" s="30" t="s">
        <v>31</v>
      </c>
      <c r="B208" s="16">
        <f>B205+B206+B207</f>
        <v>65422.61</v>
      </c>
      <c r="C208" s="16">
        <f>C205+C206+C207</f>
        <v>923871.29</v>
      </c>
      <c r="D208" s="16">
        <f>D205+D206+D207</f>
        <v>814026.29</v>
      </c>
      <c r="E208" s="16">
        <f>E205+E206+E207</f>
        <v>109845.00000000001</v>
      </c>
      <c r="F208" s="16">
        <f>F205+F206+F207</f>
        <v>175267.61</v>
      </c>
      <c r="G208" s="12"/>
      <c r="J208" s="68">
        <f>F208</f>
        <v>175267.61</v>
      </c>
    </row>
    <row r="209" spans="1:11" ht="26.25" customHeight="1" outlineLevel="1">
      <c r="A209" s="20" t="s">
        <v>4</v>
      </c>
      <c r="B209" s="20">
        <f>165237.58+1047.7</f>
        <v>166285.28</v>
      </c>
      <c r="C209" s="15">
        <f>1690491.02+389976.04</f>
        <v>2080467.06</v>
      </c>
      <c r="D209" s="15">
        <v>1907803.38</v>
      </c>
      <c r="E209" s="12">
        <f t="shared" si="26"/>
        <v>172663.68000000017</v>
      </c>
      <c r="F209" s="12">
        <f>B209+E209</f>
        <v>338948.9600000002</v>
      </c>
      <c r="G209" s="12">
        <f>D209</f>
        <v>1907803.38</v>
      </c>
      <c r="K209" s="68">
        <f>F209</f>
        <v>338948.9600000002</v>
      </c>
    </row>
    <row r="210" spans="1:7" ht="26.25" customHeight="1" outlineLevel="1">
      <c r="A210" s="20" t="s">
        <v>7</v>
      </c>
      <c r="B210" s="20">
        <v>111589.5</v>
      </c>
      <c r="C210" s="15">
        <f>1039697.66+1817.64</f>
        <v>1041515.3</v>
      </c>
      <c r="D210" s="15">
        <f>1271365.88</f>
        <v>1271365.88</v>
      </c>
      <c r="E210" s="12">
        <f t="shared" si="26"/>
        <v>-229850.57999999984</v>
      </c>
      <c r="F210" s="12">
        <f>B210+E210</f>
        <v>-118261.07999999984</v>
      </c>
      <c r="G210" s="12">
        <f>D210</f>
        <v>1271365.88</v>
      </c>
    </row>
    <row r="211" spans="1:7" ht="26.25" customHeight="1" outlineLevel="1">
      <c r="A211" s="20" t="s">
        <v>8</v>
      </c>
      <c r="B211" s="20">
        <v>14526.25</v>
      </c>
      <c r="C211" s="15">
        <v>186209.79</v>
      </c>
      <c r="D211" s="15">
        <v>189928.38</v>
      </c>
      <c r="E211" s="12">
        <f t="shared" si="26"/>
        <v>-3718.5899999999965</v>
      </c>
      <c r="F211" s="12">
        <f>B211+E211</f>
        <v>10807.660000000003</v>
      </c>
      <c r="G211" s="12">
        <f>D211</f>
        <v>189928.38</v>
      </c>
    </row>
    <row r="212" spans="1:7" ht="26.25" customHeight="1" outlineLevel="1">
      <c r="A212" s="20" t="s">
        <v>9</v>
      </c>
      <c r="B212" s="20"/>
      <c r="C212" s="15">
        <v>12630.24</v>
      </c>
      <c r="D212" s="15">
        <v>5118.59</v>
      </c>
      <c r="E212" s="12">
        <f t="shared" si="26"/>
        <v>7511.65</v>
      </c>
      <c r="F212" s="12">
        <f>B212+E212</f>
        <v>7511.65</v>
      </c>
      <c r="G212" s="12" t="s">
        <v>23</v>
      </c>
    </row>
    <row r="213" spans="1:7" ht="54" customHeight="1" outlineLevel="1">
      <c r="A213" s="20" t="s">
        <v>10</v>
      </c>
      <c r="B213" s="20"/>
      <c r="C213" s="15">
        <v>9340.06</v>
      </c>
      <c r="D213" s="15">
        <v>8544.14</v>
      </c>
      <c r="E213" s="12">
        <f t="shared" si="26"/>
        <v>795.9200000000001</v>
      </c>
      <c r="F213" s="12">
        <f>B213+E213</f>
        <v>795.9200000000001</v>
      </c>
      <c r="G213" s="15"/>
    </row>
    <row r="214" spans="1:12" ht="35.25" customHeight="1" outlineLevel="1">
      <c r="A214" s="30" t="s">
        <v>33</v>
      </c>
      <c r="B214" s="16">
        <f>B211+B212+B213</f>
        <v>14526.25</v>
      </c>
      <c r="C214" s="16">
        <f>C211+C212+C213</f>
        <v>208180.09</v>
      </c>
      <c r="D214" s="16">
        <f>D211+D212+D213</f>
        <v>203591.11</v>
      </c>
      <c r="E214" s="16">
        <f>E211+E212+E213</f>
        <v>4588.980000000003</v>
      </c>
      <c r="F214" s="16">
        <f>F211+F212+F213</f>
        <v>19115.230000000003</v>
      </c>
      <c r="G214" s="15"/>
      <c r="L214" s="68">
        <f>F214</f>
        <v>19115.230000000003</v>
      </c>
    </row>
    <row r="215" spans="1:7" ht="35.25" customHeight="1" outlineLevel="1">
      <c r="A215" s="62" t="s">
        <v>6</v>
      </c>
      <c r="B215" s="16"/>
      <c r="C215" s="15">
        <v>17348.24</v>
      </c>
      <c r="D215" s="15">
        <v>1095.36</v>
      </c>
      <c r="E215" s="12">
        <f>C215-D215</f>
        <v>16252.880000000001</v>
      </c>
      <c r="F215" s="12">
        <f>E215+B215</f>
        <v>16252.880000000001</v>
      </c>
      <c r="G215" s="15"/>
    </row>
    <row r="216" spans="1:7" ht="35.25" customHeight="1" hidden="1" outlineLevel="1">
      <c r="A216" s="62" t="s">
        <v>65</v>
      </c>
      <c r="B216" s="16"/>
      <c r="C216" s="15"/>
      <c r="D216" s="15"/>
      <c r="E216" s="12"/>
      <c r="F216" s="12"/>
      <c r="G216" s="15"/>
    </row>
    <row r="217" spans="1:7" ht="54" customHeight="1" outlineLevel="1">
      <c r="A217" s="53" t="s">
        <v>81</v>
      </c>
      <c r="B217" s="54">
        <f>B204+B208+B209+B210+B214+B215+B216</f>
        <v>369885.28</v>
      </c>
      <c r="C217" s="54">
        <f>C204+C208+C209+C210+C214+C215+C216</f>
        <v>4427627.2700000005</v>
      </c>
      <c r="D217" s="54">
        <f>D204+D208+D209+D210+D214+D215+D216</f>
        <v>4356502.590000001</v>
      </c>
      <c r="E217" s="54">
        <f>E204+E208+E209+E210+E214+E215+E216</f>
        <v>71124.6800000003</v>
      </c>
      <c r="F217" s="54">
        <f>F204+F208+F209+F210+F214+F215+F216</f>
        <v>441009.9600000003</v>
      </c>
      <c r="G217" s="54">
        <f>G204+G208+G209+G210+G214</f>
        <v>3179169.26</v>
      </c>
    </row>
    <row r="218" spans="1:7" ht="24" customHeight="1" outlineLevel="1">
      <c r="A218" s="53" t="s">
        <v>34</v>
      </c>
      <c r="B218" s="54"/>
      <c r="C218" s="54"/>
      <c r="D218" s="54"/>
      <c r="E218" s="54"/>
      <c r="F218" s="54"/>
      <c r="G218" s="15"/>
    </row>
    <row r="219" spans="1:7" ht="26.25" customHeight="1" outlineLevel="1">
      <c r="A219" s="53" t="s">
        <v>35</v>
      </c>
      <c r="B219" s="54">
        <f>B210</f>
        <v>111589.5</v>
      </c>
      <c r="C219" s="54">
        <f>C210</f>
        <v>1041515.3</v>
      </c>
      <c r="D219" s="54">
        <f>D210</f>
        <v>1271365.88</v>
      </c>
      <c r="E219" s="54">
        <f>E210</f>
        <v>-229850.57999999984</v>
      </c>
      <c r="F219" s="54">
        <f>F210</f>
        <v>-118261.07999999984</v>
      </c>
      <c r="G219" s="15"/>
    </row>
    <row r="220" spans="1:7" ht="23.25" customHeight="1" outlineLevel="1">
      <c r="A220" s="53" t="s">
        <v>36</v>
      </c>
      <c r="B220" s="54">
        <f aca="true" t="shared" si="27" ref="B220:G220">B204+B208+B209+B214</f>
        <v>258295.78</v>
      </c>
      <c r="C220" s="54">
        <f t="shared" si="27"/>
        <v>3368763.73</v>
      </c>
      <c r="D220" s="54">
        <f t="shared" si="27"/>
        <v>3084041.35</v>
      </c>
      <c r="E220" s="54">
        <f t="shared" si="27"/>
        <v>284722.3800000001</v>
      </c>
      <c r="F220" s="54">
        <f t="shared" si="27"/>
        <v>543018.1600000001</v>
      </c>
      <c r="G220" s="54">
        <f t="shared" si="27"/>
        <v>1907803.38</v>
      </c>
    </row>
    <row r="221" spans="1:7" ht="23.25" customHeight="1" outlineLevel="1">
      <c r="A221" s="52" t="s">
        <v>58</v>
      </c>
      <c r="B221" s="54">
        <f>B215+B216</f>
        <v>0</v>
      </c>
      <c r="C221" s="54">
        <f>C215+C216</f>
        <v>17348.24</v>
      </c>
      <c r="D221" s="54">
        <f>D215+D216</f>
        <v>1095.36</v>
      </c>
      <c r="E221" s="54">
        <f>E215+E216</f>
        <v>16252.880000000001</v>
      </c>
      <c r="F221" s="54">
        <f>F215+F216</f>
        <v>16252.880000000001</v>
      </c>
      <c r="G221" s="54"/>
    </row>
    <row r="222" spans="1:7" ht="51.75" customHeight="1" outlineLevel="1">
      <c r="A222" s="37" t="s">
        <v>25</v>
      </c>
      <c r="B222" s="37" t="s">
        <v>72</v>
      </c>
      <c r="C222" s="37" t="s">
        <v>73</v>
      </c>
      <c r="D222" s="38" t="s">
        <v>74</v>
      </c>
      <c r="E222" s="39" t="s">
        <v>28</v>
      </c>
      <c r="F222" s="39" t="s">
        <v>75</v>
      </c>
      <c r="G222" s="19" t="s">
        <v>23</v>
      </c>
    </row>
    <row r="223" spans="1:7" ht="26.25" customHeight="1" outlineLevel="1">
      <c r="A223" s="16" t="s">
        <v>52</v>
      </c>
      <c r="B223" s="29"/>
      <c r="C223" s="12"/>
      <c r="D223" s="12"/>
      <c r="E223" s="10"/>
      <c r="F223" s="10"/>
      <c r="G223" s="10"/>
    </row>
    <row r="224" spans="1:7" ht="26.25" customHeight="1" outlineLevel="1">
      <c r="A224" s="29" t="s">
        <v>0</v>
      </c>
      <c r="B224" s="29">
        <v>14278.19</v>
      </c>
      <c r="C224" s="15">
        <v>197002.68</v>
      </c>
      <c r="D224" s="15">
        <v>184862.46</v>
      </c>
      <c r="E224" s="12">
        <f aca="true" t="shared" si="28" ref="E224:E231">C224-D224</f>
        <v>12140.220000000001</v>
      </c>
      <c r="F224" s="12">
        <f>E224+B224</f>
        <v>26418.410000000003</v>
      </c>
      <c r="G224" s="12">
        <f>D224</f>
        <v>184862.46</v>
      </c>
    </row>
    <row r="225" spans="1:7" ht="26.25" customHeight="1" outlineLevel="1">
      <c r="A225" s="29" t="s">
        <v>1</v>
      </c>
      <c r="B225" s="29"/>
      <c r="C225" s="15">
        <v>14517.65</v>
      </c>
      <c r="D225" s="15">
        <v>12653.03</v>
      </c>
      <c r="E225" s="12">
        <f t="shared" si="28"/>
        <v>1864.619999999999</v>
      </c>
      <c r="F225" s="12">
        <f>E225+B225</f>
        <v>1864.619999999999</v>
      </c>
      <c r="G225" s="12" t="s">
        <v>23</v>
      </c>
    </row>
    <row r="226" spans="1:9" ht="26.25" customHeight="1" outlineLevel="1">
      <c r="A226" s="30" t="s">
        <v>29</v>
      </c>
      <c r="B226" s="30">
        <f>B224+B225</f>
        <v>14278.19</v>
      </c>
      <c r="C226" s="30">
        <f>C224+C225</f>
        <v>211520.33</v>
      </c>
      <c r="D226" s="30">
        <f>D224+D225</f>
        <v>197515.49</v>
      </c>
      <c r="E226" s="30">
        <f>E224+E225</f>
        <v>14004.84</v>
      </c>
      <c r="F226" s="30">
        <f>F224+F225</f>
        <v>28283.030000000002</v>
      </c>
      <c r="G226" s="12"/>
      <c r="I226" s="68">
        <f>F226</f>
        <v>28283.030000000002</v>
      </c>
    </row>
    <row r="227" spans="1:11" ht="26.25" customHeight="1" outlineLevel="1">
      <c r="A227" s="29" t="s">
        <v>4</v>
      </c>
      <c r="B227" s="29">
        <v>94337.69</v>
      </c>
      <c r="C227" s="15">
        <v>1471961.85</v>
      </c>
      <c r="D227" s="15">
        <v>1436009.76</v>
      </c>
      <c r="E227" s="12">
        <f t="shared" si="28"/>
        <v>35952.090000000084</v>
      </c>
      <c r="F227" s="12">
        <f>E227+B227</f>
        <v>130289.78000000009</v>
      </c>
      <c r="G227" s="12">
        <f>D227</f>
        <v>1436009.76</v>
      </c>
      <c r="K227" s="68">
        <f>F227</f>
        <v>130289.78000000009</v>
      </c>
    </row>
    <row r="228" spans="1:7" ht="26.25" customHeight="1" outlineLevel="1">
      <c r="A228" s="29" t="s">
        <v>7</v>
      </c>
      <c r="B228" s="29">
        <v>73472.17</v>
      </c>
      <c r="C228" s="15">
        <f>883536.43+1598.99</f>
        <v>885135.42</v>
      </c>
      <c r="D228" s="15">
        <v>875265.81</v>
      </c>
      <c r="E228" s="12">
        <f t="shared" si="28"/>
        <v>9869.609999999986</v>
      </c>
      <c r="F228" s="12">
        <f>E228+B228</f>
        <v>83341.77999999998</v>
      </c>
      <c r="G228" s="12">
        <f>D228</f>
        <v>875265.81</v>
      </c>
    </row>
    <row r="229" spans="1:7" ht="26.25" customHeight="1" outlineLevel="1">
      <c r="A229" s="29" t="s">
        <v>8</v>
      </c>
      <c r="B229" s="29">
        <f>27685.05+0.01</f>
        <v>27685.059999999998</v>
      </c>
      <c r="C229" s="15">
        <v>378754.47</v>
      </c>
      <c r="D229" s="15">
        <v>361207.91</v>
      </c>
      <c r="E229" s="12">
        <f t="shared" si="28"/>
        <v>17546.559999999998</v>
      </c>
      <c r="F229" s="12">
        <f>E229+B229</f>
        <v>45231.619999999995</v>
      </c>
      <c r="G229" s="12">
        <f>D229</f>
        <v>361207.91</v>
      </c>
    </row>
    <row r="230" spans="1:7" ht="26.25" customHeight="1" outlineLevel="1">
      <c r="A230" s="29" t="s">
        <v>9</v>
      </c>
      <c r="B230" s="29"/>
      <c r="C230" s="15">
        <v>14132.82</v>
      </c>
      <c r="D230" s="15">
        <v>2235.8</v>
      </c>
      <c r="E230" s="12">
        <f t="shared" si="28"/>
        <v>11897.02</v>
      </c>
      <c r="F230" s="12">
        <f>E230+B230</f>
        <v>11897.02</v>
      </c>
      <c r="G230" s="12" t="s">
        <v>23</v>
      </c>
    </row>
    <row r="231" spans="1:7" ht="40.5" customHeight="1" outlineLevel="1">
      <c r="A231" s="29" t="s">
        <v>10</v>
      </c>
      <c r="B231" s="29"/>
      <c r="C231" s="15">
        <v>27312.55</v>
      </c>
      <c r="D231" s="15">
        <v>24499.78</v>
      </c>
      <c r="E231" s="12">
        <f t="shared" si="28"/>
        <v>2812.7700000000004</v>
      </c>
      <c r="F231" s="12">
        <f>E231+B231</f>
        <v>2812.7700000000004</v>
      </c>
      <c r="G231" s="15"/>
    </row>
    <row r="232" spans="1:12" ht="40.5" customHeight="1" outlineLevel="1">
      <c r="A232" s="30" t="s">
        <v>33</v>
      </c>
      <c r="B232" s="30">
        <f>B229+B230+B231</f>
        <v>27685.059999999998</v>
      </c>
      <c r="C232" s="30">
        <f>C229+C230+C231</f>
        <v>420199.83999999997</v>
      </c>
      <c r="D232" s="30">
        <f>D229+D230+D231</f>
        <v>387943.49</v>
      </c>
      <c r="E232" s="30">
        <f>E229+E230+E231</f>
        <v>32256.35</v>
      </c>
      <c r="F232" s="30">
        <f>F229+F230+F231</f>
        <v>59941.41</v>
      </c>
      <c r="G232" s="15"/>
      <c r="L232" s="68">
        <f>F232</f>
        <v>59941.41</v>
      </c>
    </row>
    <row r="233" spans="1:7" ht="40.5" customHeight="1" outlineLevel="1">
      <c r="A233" s="62" t="s">
        <v>6</v>
      </c>
      <c r="B233" s="16"/>
      <c r="C233" s="15">
        <v>9950.56</v>
      </c>
      <c r="D233" s="15">
        <v>1365.23</v>
      </c>
      <c r="E233" s="12">
        <f>C233-D233</f>
        <v>8585.33</v>
      </c>
      <c r="F233" s="12">
        <f>E233+B233</f>
        <v>8585.33</v>
      </c>
      <c r="G233" s="15"/>
    </row>
    <row r="234" spans="1:7" ht="40.5" customHeight="1" hidden="1" outlineLevel="1">
      <c r="A234" s="62" t="s">
        <v>65</v>
      </c>
      <c r="B234" s="16"/>
      <c r="C234" s="15"/>
      <c r="D234" s="15"/>
      <c r="E234" s="12"/>
      <c r="F234" s="12"/>
      <c r="G234" s="15"/>
    </row>
    <row r="235" spans="1:7" ht="40.5" customHeight="1" outlineLevel="1">
      <c r="A235" s="53" t="s">
        <v>81</v>
      </c>
      <c r="B235" s="54">
        <f>B226+B227+B228+B232+B233+B234</f>
        <v>209773.11</v>
      </c>
      <c r="C235" s="54">
        <f>C226+C227+C228+C232+C233+C234</f>
        <v>2998768</v>
      </c>
      <c r="D235" s="54">
        <f>D226+D227+D228+D232+D233+D234</f>
        <v>2898099.78</v>
      </c>
      <c r="E235" s="54">
        <f>E226+E227+E228+E232+E233+E234</f>
        <v>100668.22000000007</v>
      </c>
      <c r="F235" s="54">
        <f>F226+F227+F228+F232+F233+F234</f>
        <v>310441.33000000013</v>
      </c>
      <c r="G235" s="15"/>
    </row>
    <row r="236" spans="1:7" ht="18" customHeight="1" outlineLevel="1">
      <c r="A236" s="53" t="s">
        <v>34</v>
      </c>
      <c r="B236" s="54"/>
      <c r="C236" s="54"/>
      <c r="D236" s="54"/>
      <c r="E236" s="54"/>
      <c r="F236" s="54"/>
      <c r="G236" s="15"/>
    </row>
    <row r="237" spans="1:7" ht="40.5" customHeight="1" outlineLevel="1">
      <c r="A237" s="53" t="s">
        <v>35</v>
      </c>
      <c r="B237" s="54">
        <f>B228</f>
        <v>73472.17</v>
      </c>
      <c r="C237" s="54">
        <f>C228</f>
        <v>885135.42</v>
      </c>
      <c r="D237" s="54">
        <f>D228</f>
        <v>875265.81</v>
      </c>
      <c r="E237" s="54">
        <f>E228</f>
        <v>9869.609999999986</v>
      </c>
      <c r="F237" s="54">
        <f>F228</f>
        <v>83341.77999999998</v>
      </c>
      <c r="G237" s="15"/>
    </row>
    <row r="238" spans="1:7" ht="40.5" customHeight="1" outlineLevel="1">
      <c r="A238" s="53" t="s">
        <v>36</v>
      </c>
      <c r="B238" s="54">
        <f>B226+B227+B232</f>
        <v>136300.94</v>
      </c>
      <c r="C238" s="54">
        <f>C226+C227+C232</f>
        <v>2103682.02</v>
      </c>
      <c r="D238" s="54">
        <f>D226+D227+D232</f>
        <v>2021468.74</v>
      </c>
      <c r="E238" s="54">
        <f>E226+E227+E232</f>
        <v>82213.28000000009</v>
      </c>
      <c r="F238" s="54">
        <f>F226+F227+F232</f>
        <v>218514.2200000001</v>
      </c>
      <c r="G238" s="15"/>
    </row>
    <row r="239" spans="1:7" ht="40.5" customHeight="1" outlineLevel="1">
      <c r="A239" s="52" t="s">
        <v>58</v>
      </c>
      <c r="B239" s="54">
        <f>B233+B234</f>
        <v>0</v>
      </c>
      <c r="C239" s="54">
        <f>C233+C234</f>
        <v>9950.56</v>
      </c>
      <c r="D239" s="54">
        <f>D233+D234</f>
        <v>1365.23</v>
      </c>
      <c r="E239" s="54">
        <f>E233+E234</f>
        <v>8585.33</v>
      </c>
      <c r="F239" s="54">
        <f>F233+F234</f>
        <v>8585.33</v>
      </c>
      <c r="G239" s="15"/>
    </row>
    <row r="240" spans="1:7" ht="48" customHeight="1" outlineLevel="1">
      <c r="A240" s="37" t="s">
        <v>25</v>
      </c>
      <c r="B240" s="37" t="s">
        <v>72</v>
      </c>
      <c r="C240" s="37" t="s">
        <v>73</v>
      </c>
      <c r="D240" s="38" t="s">
        <v>74</v>
      </c>
      <c r="E240" s="39" t="s">
        <v>28</v>
      </c>
      <c r="F240" s="39" t="s">
        <v>75</v>
      </c>
      <c r="G240" s="19" t="s">
        <v>23</v>
      </c>
    </row>
    <row r="241" spans="1:7" ht="26.25" customHeight="1" outlineLevel="1">
      <c r="A241" s="16" t="s">
        <v>53</v>
      </c>
      <c r="B241" s="20"/>
      <c r="C241" s="12"/>
      <c r="D241" s="12"/>
      <c r="E241" s="10"/>
      <c r="F241" s="10"/>
      <c r="G241" s="10"/>
    </row>
    <row r="242" spans="1:7" ht="26.25" customHeight="1" outlineLevel="1">
      <c r="A242" s="29" t="s">
        <v>0</v>
      </c>
      <c r="B242" s="29">
        <v>14713.51</v>
      </c>
      <c r="C242" s="15">
        <v>146375.15</v>
      </c>
      <c r="D242" s="15">
        <v>142825.06</v>
      </c>
      <c r="E242" s="12">
        <f aca="true" t="shared" si="29" ref="E242:E252">C242-D242</f>
        <v>3550.0899999999965</v>
      </c>
      <c r="F242" s="12">
        <f>B242+E242</f>
        <v>18263.6</v>
      </c>
      <c r="G242" s="12">
        <f>D242</f>
        <v>142825.06</v>
      </c>
    </row>
    <row r="243" spans="1:7" ht="26.25" customHeight="1" outlineLevel="1">
      <c r="A243" s="29" t="s">
        <v>1</v>
      </c>
      <c r="B243" s="29"/>
      <c r="C243" s="15">
        <v>11276</v>
      </c>
      <c r="D243" s="15">
        <v>9604.02</v>
      </c>
      <c r="E243" s="12">
        <f t="shared" si="29"/>
        <v>1671.9799999999996</v>
      </c>
      <c r="F243" s="12">
        <f>B243+E243</f>
        <v>1671.9799999999996</v>
      </c>
      <c r="G243" s="12" t="s">
        <v>23</v>
      </c>
    </row>
    <row r="244" spans="1:9" ht="26.25" customHeight="1" outlineLevel="1">
      <c r="A244" s="30" t="s">
        <v>29</v>
      </c>
      <c r="B244" s="30">
        <f>B242+B243</f>
        <v>14713.51</v>
      </c>
      <c r="C244" s="30">
        <f>C242+C243</f>
        <v>157651.15</v>
      </c>
      <c r="D244" s="30">
        <f>D242+D243</f>
        <v>152429.08</v>
      </c>
      <c r="E244" s="30">
        <f>E242+E243</f>
        <v>5222.069999999996</v>
      </c>
      <c r="F244" s="30">
        <f>F242+F243</f>
        <v>19935.579999999998</v>
      </c>
      <c r="G244" s="12"/>
      <c r="I244" s="68">
        <f>F244</f>
        <v>19935.579999999998</v>
      </c>
    </row>
    <row r="245" spans="1:7" ht="26.25" customHeight="1" outlineLevel="1">
      <c r="A245" s="29" t="s">
        <v>4</v>
      </c>
      <c r="B245" s="29">
        <v>147672.72</v>
      </c>
      <c r="C245" s="15">
        <v>1517273.15</v>
      </c>
      <c r="D245" s="15">
        <v>1481597.2</v>
      </c>
      <c r="E245" s="12">
        <f t="shared" si="29"/>
        <v>35675.94999999995</v>
      </c>
      <c r="F245" s="12">
        <f>B245+E245</f>
        <v>183348.66999999995</v>
      </c>
      <c r="G245" s="12">
        <f>D245</f>
        <v>1481597.2</v>
      </c>
    </row>
    <row r="246" spans="1:7" ht="26.25" customHeight="1" outlineLevel="1">
      <c r="A246" s="29" t="s">
        <v>5</v>
      </c>
      <c r="B246" s="29"/>
      <c r="C246" s="12">
        <v>134.04</v>
      </c>
      <c r="D246" s="15"/>
      <c r="E246" s="12">
        <f t="shared" si="29"/>
        <v>134.04</v>
      </c>
      <c r="F246" s="12">
        <f>B246+E246</f>
        <v>134.04</v>
      </c>
      <c r="G246" s="12" t="s">
        <v>23</v>
      </c>
    </row>
    <row r="247" spans="1:11" ht="26.25" customHeight="1" outlineLevel="1">
      <c r="A247" s="30" t="s">
        <v>50</v>
      </c>
      <c r="B247" s="30">
        <f>B245+B246</f>
        <v>147672.72</v>
      </c>
      <c r="C247" s="30">
        <f>C245+C246</f>
        <v>1517407.19</v>
      </c>
      <c r="D247" s="30">
        <f>D245+D246</f>
        <v>1481597.2</v>
      </c>
      <c r="E247" s="30">
        <f>E245+E246</f>
        <v>35809.989999999954</v>
      </c>
      <c r="F247" s="30">
        <f>F245+F246</f>
        <v>183482.70999999996</v>
      </c>
      <c r="G247" s="12"/>
      <c r="K247" s="68">
        <f>F247</f>
        <v>183482.70999999996</v>
      </c>
    </row>
    <row r="248" spans="1:7" ht="26.25" customHeight="1" outlineLevel="1">
      <c r="A248" s="29" t="s">
        <v>7</v>
      </c>
      <c r="B248" s="29">
        <f>66379.03+0.12</f>
        <v>66379.15</v>
      </c>
      <c r="C248" s="15">
        <f>646343.45+1017.27</f>
        <v>647360.72</v>
      </c>
      <c r="D248" s="15">
        <v>642306.46</v>
      </c>
      <c r="E248" s="12">
        <f t="shared" si="29"/>
        <v>5054.260000000009</v>
      </c>
      <c r="F248" s="12">
        <f>B248+E248</f>
        <v>71433.41</v>
      </c>
      <c r="G248" s="12">
        <f>D248</f>
        <v>642306.46</v>
      </c>
    </row>
    <row r="249" spans="1:7" ht="26.25" customHeight="1" outlineLevel="1">
      <c r="A249" s="29" t="s">
        <v>8</v>
      </c>
      <c r="B249" s="29">
        <v>28552.79</v>
      </c>
      <c r="C249" s="15">
        <v>284594.84</v>
      </c>
      <c r="D249" s="15">
        <v>279705.07</v>
      </c>
      <c r="E249" s="12">
        <f t="shared" si="29"/>
        <v>4889.770000000019</v>
      </c>
      <c r="F249" s="12">
        <f>B249+E249</f>
        <v>33442.56000000002</v>
      </c>
      <c r="G249" s="12">
        <f>D249</f>
        <v>279705.07</v>
      </c>
    </row>
    <row r="250" spans="1:7" ht="26.25" customHeight="1" outlineLevel="1">
      <c r="A250" s="29" t="s">
        <v>9</v>
      </c>
      <c r="B250" s="29"/>
      <c r="C250" s="15">
        <v>2013.86</v>
      </c>
      <c r="D250" s="15">
        <v>1894.89</v>
      </c>
      <c r="E250" s="12">
        <f t="shared" si="29"/>
        <v>118.9699999999998</v>
      </c>
      <c r="F250" s="12">
        <f>B250+E250</f>
        <v>118.9699999999998</v>
      </c>
      <c r="G250" s="12" t="s">
        <v>23</v>
      </c>
    </row>
    <row r="251" spans="1:7" ht="36" customHeight="1" outlineLevel="1">
      <c r="A251" s="29" t="s">
        <v>22</v>
      </c>
      <c r="B251" s="29"/>
      <c r="C251" s="15">
        <v>303.81</v>
      </c>
      <c r="D251" s="15">
        <v>277.85</v>
      </c>
      <c r="E251" s="12">
        <f t="shared" si="29"/>
        <v>25.95999999999998</v>
      </c>
      <c r="F251" s="12">
        <f>B251+E251</f>
        <v>25.95999999999998</v>
      </c>
      <c r="G251" s="12" t="s">
        <v>23</v>
      </c>
    </row>
    <row r="252" spans="1:7" ht="36" customHeight="1" outlineLevel="1">
      <c r="A252" s="29" t="s">
        <v>10</v>
      </c>
      <c r="B252" s="29"/>
      <c r="C252" s="15">
        <v>21674.45</v>
      </c>
      <c r="D252" s="15">
        <v>18659.47</v>
      </c>
      <c r="E252" s="12">
        <f t="shared" si="29"/>
        <v>3014.9799999999996</v>
      </c>
      <c r="F252" s="12">
        <f>B252+E252</f>
        <v>3014.9799999999996</v>
      </c>
      <c r="G252" s="12" t="s">
        <v>23</v>
      </c>
    </row>
    <row r="253" spans="1:12" ht="38.25" customHeight="1" outlineLevel="1">
      <c r="A253" s="30" t="s">
        <v>33</v>
      </c>
      <c r="B253" s="30">
        <f>B249+B250+B251+B252</f>
        <v>28552.79</v>
      </c>
      <c r="C253" s="30">
        <f>C249+C250+C251+C252</f>
        <v>308586.96</v>
      </c>
      <c r="D253" s="30">
        <f>D249+D250+D251+D252</f>
        <v>300537.28</v>
      </c>
      <c r="E253" s="30">
        <f>E249+E250+E251+E252</f>
        <v>8049.680000000018</v>
      </c>
      <c r="F253" s="30">
        <f>F249+F250+F251+F252</f>
        <v>36602.470000000016</v>
      </c>
      <c r="G253" s="17">
        <f>SUM(G242:G252)</f>
        <v>2546433.7899999996</v>
      </c>
      <c r="L253" s="68">
        <f>F253</f>
        <v>36602.470000000016</v>
      </c>
    </row>
    <row r="254" spans="1:7" ht="26.25" customHeight="1" hidden="1">
      <c r="A254" s="23" t="s">
        <v>24</v>
      </c>
      <c r="B254" s="23"/>
      <c r="C254" s="24">
        <v>95225552.07</v>
      </c>
      <c r="D254" s="25">
        <v>94489825.79</v>
      </c>
      <c r="E254" s="10"/>
      <c r="F254" s="10"/>
      <c r="G254" s="10"/>
    </row>
    <row r="255" spans="1:7" ht="26.25" customHeight="1">
      <c r="A255" s="62" t="s">
        <v>6</v>
      </c>
      <c r="B255" s="16"/>
      <c r="C255" s="15">
        <v>22939.3</v>
      </c>
      <c r="D255" s="15">
        <v>1351.87</v>
      </c>
      <c r="E255" s="12">
        <f>C255-D255</f>
        <v>21587.43</v>
      </c>
      <c r="F255" s="12">
        <f>E255+B255</f>
        <v>21587.43</v>
      </c>
      <c r="G255" s="63"/>
    </row>
    <row r="256" spans="1:7" ht="26.25" customHeight="1" hidden="1">
      <c r="A256" s="62" t="s">
        <v>65</v>
      </c>
      <c r="B256" s="16"/>
      <c r="C256" s="15"/>
      <c r="D256" s="15"/>
      <c r="E256" s="12"/>
      <c r="F256" s="12"/>
      <c r="G256" s="63"/>
    </row>
    <row r="257" spans="1:7" ht="45" customHeight="1">
      <c r="A257" s="53" t="s">
        <v>81</v>
      </c>
      <c r="B257" s="54">
        <f>B244+B247+B248+B253+B255+B256</f>
        <v>257318.17</v>
      </c>
      <c r="C257" s="54">
        <f>C244+C247+C248+C253+C255+C256</f>
        <v>2653945.3199999994</v>
      </c>
      <c r="D257" s="54">
        <f>D244+D247+D248+D253+D255+D256</f>
        <v>2578221.8900000006</v>
      </c>
      <c r="E257" s="54">
        <f>E244+E247+E248+E253+E255+E256</f>
        <v>75723.42999999998</v>
      </c>
      <c r="F257" s="54">
        <f>F244+F247+F248+F253+F255+F256</f>
        <v>333041.6</v>
      </c>
      <c r="G257" s="27"/>
    </row>
    <row r="258" spans="1:7" ht="26.25" customHeight="1">
      <c r="A258" s="53" t="s">
        <v>34</v>
      </c>
      <c r="B258" s="54"/>
      <c r="C258" s="54"/>
      <c r="D258" s="54"/>
      <c r="E258" s="54"/>
      <c r="F258" s="54"/>
      <c r="G258" s="26"/>
    </row>
    <row r="259" spans="1:7" ht="26.25" customHeight="1">
      <c r="A259" s="53" t="s">
        <v>35</v>
      </c>
      <c r="B259" s="54">
        <f>B248</f>
        <v>66379.15</v>
      </c>
      <c r="C259" s="54">
        <f>C248</f>
        <v>647360.72</v>
      </c>
      <c r="D259" s="54">
        <f>D248</f>
        <v>642306.46</v>
      </c>
      <c r="E259" s="54">
        <f>E248</f>
        <v>5054.260000000009</v>
      </c>
      <c r="F259" s="54">
        <f>F248</f>
        <v>71433.41</v>
      </c>
      <c r="G259" s="26"/>
    </row>
    <row r="260" spans="1:7" ht="26.25" customHeight="1">
      <c r="A260" s="53" t="s">
        <v>36</v>
      </c>
      <c r="B260" s="54">
        <f>B244+B247+B253</f>
        <v>190939.02000000002</v>
      </c>
      <c r="C260" s="54">
        <f>C244+C247+C253</f>
        <v>1983645.2999999998</v>
      </c>
      <c r="D260" s="54">
        <f>D244+D247+D253</f>
        <v>1934563.56</v>
      </c>
      <c r="E260" s="54">
        <f>E244+E247+E253</f>
        <v>49081.73999999997</v>
      </c>
      <c r="F260" s="54">
        <f>F244+F247+F253</f>
        <v>240020.75999999995</v>
      </c>
      <c r="G260" s="26"/>
    </row>
    <row r="261" spans="1:7" ht="26.25" customHeight="1">
      <c r="A261" s="52" t="s">
        <v>58</v>
      </c>
      <c r="B261" s="54">
        <f>B255+B256</f>
        <v>0</v>
      </c>
      <c r="C261" s="54">
        <f>C255+C256</f>
        <v>22939.3</v>
      </c>
      <c r="D261" s="54">
        <f>D255+D256</f>
        <v>1351.87</v>
      </c>
      <c r="E261" s="54">
        <f>E255+E256</f>
        <v>21587.43</v>
      </c>
      <c r="F261" s="54">
        <f>F255+F256</f>
        <v>21587.43</v>
      </c>
      <c r="G261" s="26"/>
    </row>
    <row r="262" spans="1:7" ht="63" customHeight="1">
      <c r="A262" s="37" t="s">
        <v>25</v>
      </c>
      <c r="B262" s="37" t="s">
        <v>72</v>
      </c>
      <c r="C262" s="37" t="s">
        <v>73</v>
      </c>
      <c r="D262" s="38" t="s">
        <v>74</v>
      </c>
      <c r="E262" s="39" t="s">
        <v>28</v>
      </c>
      <c r="F262" s="39" t="s">
        <v>75</v>
      </c>
      <c r="G262" s="26" t="e">
        <f>G22+G42+G60+#REF!+G80+G100+G120+G144+#REF!+#REF!+G173+G195+G217+G235+G257</f>
        <v>#REF!</v>
      </c>
    </row>
    <row r="263" spans="1:7" ht="26.25" customHeight="1">
      <c r="A263" s="16" t="s">
        <v>54</v>
      </c>
      <c r="B263" s="20"/>
      <c r="C263" s="12"/>
      <c r="D263" s="12"/>
      <c r="E263" s="10"/>
      <c r="F263" s="10"/>
      <c r="G263" s="26"/>
    </row>
    <row r="264" spans="1:7" ht="26.25" customHeight="1">
      <c r="A264" s="29" t="s">
        <v>0</v>
      </c>
      <c r="B264" s="29">
        <v>18879.91</v>
      </c>
      <c r="C264" s="15">
        <f>278228.71-12769.93</f>
        <v>265458.78</v>
      </c>
      <c r="D264" s="15">
        <f>257725.89</f>
        <v>257725.89</v>
      </c>
      <c r="E264" s="12">
        <f>C264-D264</f>
        <v>7732.890000000014</v>
      </c>
      <c r="F264" s="12">
        <f>B264+E264</f>
        <v>26612.800000000014</v>
      </c>
      <c r="G264" s="26"/>
    </row>
    <row r="265" spans="1:7" ht="26.25" customHeight="1">
      <c r="A265" s="29" t="s">
        <v>1</v>
      </c>
      <c r="B265" s="29">
        <v>1846.96</v>
      </c>
      <c r="C265" s="15">
        <f>24796.49-1045.39</f>
        <v>23751.100000000002</v>
      </c>
      <c r="D265" s="15">
        <v>22418.47</v>
      </c>
      <c r="E265" s="12">
        <f>C265-D265</f>
        <v>1332.630000000001</v>
      </c>
      <c r="F265" s="12">
        <f>B265+E265</f>
        <v>3179.590000000001</v>
      </c>
      <c r="G265" s="26"/>
    </row>
    <row r="266" spans="1:9" ht="26.25" customHeight="1">
      <c r="A266" s="30" t="s">
        <v>29</v>
      </c>
      <c r="B266" s="30">
        <f>B264+B265</f>
        <v>20726.87</v>
      </c>
      <c r="C266" s="30">
        <f>C264+C265</f>
        <v>289209.88</v>
      </c>
      <c r="D266" s="30">
        <f>D264+D265</f>
        <v>280144.36</v>
      </c>
      <c r="E266" s="30">
        <f>E264+E265</f>
        <v>9065.520000000015</v>
      </c>
      <c r="F266" s="30">
        <f>F264+F265</f>
        <v>29792.390000000014</v>
      </c>
      <c r="G266" s="26"/>
      <c r="I266" s="68">
        <f>F266</f>
        <v>29792.390000000014</v>
      </c>
    </row>
    <row r="267" spans="1:11" ht="26.25" customHeight="1">
      <c r="A267" s="29" t="s">
        <v>4</v>
      </c>
      <c r="B267" s="29">
        <v>187614.37</v>
      </c>
      <c r="C267" s="15">
        <v>3679523.76</v>
      </c>
      <c r="D267" s="15">
        <v>3531296.96</v>
      </c>
      <c r="E267" s="12">
        <f>C267-D267</f>
        <v>148226.7999999998</v>
      </c>
      <c r="F267" s="12">
        <f>B267+E267</f>
        <v>335841.1699999998</v>
      </c>
      <c r="G267" s="26"/>
      <c r="K267" s="68">
        <f>F267</f>
        <v>335841.1699999998</v>
      </c>
    </row>
    <row r="268" spans="1:7" ht="26.25" customHeight="1">
      <c r="A268" s="29" t="s">
        <v>2</v>
      </c>
      <c r="B268" s="29">
        <v>89961.39</v>
      </c>
      <c r="C268" s="12">
        <f>1385383.82-81476.52</f>
        <v>1303907.3</v>
      </c>
      <c r="D268" s="15">
        <v>1251770.08</v>
      </c>
      <c r="E268" s="12">
        <f>C268-D268</f>
        <v>52137.21999999997</v>
      </c>
      <c r="F268" s="12">
        <f>B268+E268</f>
        <v>142098.61</v>
      </c>
      <c r="G268" s="26"/>
    </row>
    <row r="269" spans="1:7" ht="36" customHeight="1">
      <c r="A269" s="29" t="s">
        <v>55</v>
      </c>
      <c r="B269" s="29">
        <v>10056.61</v>
      </c>
      <c r="C269" s="12">
        <f>134200.55-9976</f>
        <v>124224.54999999999</v>
      </c>
      <c r="D269" s="15">
        <v>118122.14</v>
      </c>
      <c r="E269" s="12">
        <f>C269-D269</f>
        <v>6102.409999999989</v>
      </c>
      <c r="F269" s="12">
        <f>B269+E269</f>
        <v>16159.01999999999</v>
      </c>
      <c r="G269" s="26"/>
    </row>
    <row r="270" spans="1:10" ht="49.5" customHeight="1">
      <c r="A270" s="30" t="s">
        <v>31</v>
      </c>
      <c r="B270" s="56">
        <f>SUM(B268:B269)</f>
        <v>100018</v>
      </c>
      <c r="C270" s="56">
        <f>SUM(C268:C269)</f>
        <v>1428131.85</v>
      </c>
      <c r="D270" s="56">
        <f>SUM(D268:D269)</f>
        <v>1369892.22</v>
      </c>
      <c r="E270" s="56">
        <f>SUM(E268:E269)</f>
        <v>58239.62999999996</v>
      </c>
      <c r="F270" s="56">
        <f>SUM(F268:F269)</f>
        <v>158257.62999999998</v>
      </c>
      <c r="G270" s="26"/>
      <c r="J270" s="68">
        <f>F270</f>
        <v>158257.62999999998</v>
      </c>
    </row>
    <row r="271" spans="1:7" ht="26.25" customHeight="1">
      <c r="A271" s="29" t="s">
        <v>7</v>
      </c>
      <c r="B271" s="29">
        <v>121740.2</v>
      </c>
      <c r="C271" s="15">
        <f>2517621.59-310.32</f>
        <v>2517311.27</v>
      </c>
      <c r="D271" s="15">
        <v>2413370</v>
      </c>
      <c r="E271" s="12">
        <f>C271-D271</f>
        <v>103941.27000000002</v>
      </c>
      <c r="F271" s="12">
        <f>B271+E271</f>
        <v>225681.47000000003</v>
      </c>
      <c r="G271" s="26"/>
    </row>
    <row r="272" spans="1:7" ht="26.25" customHeight="1">
      <c r="A272" s="29" t="s">
        <v>9</v>
      </c>
      <c r="B272" s="29">
        <v>731.85</v>
      </c>
      <c r="C272" s="15">
        <v>14223.21</v>
      </c>
      <c r="D272" s="15">
        <v>13647.89</v>
      </c>
      <c r="E272" s="12">
        <f>C272-D272</f>
        <v>575.3199999999997</v>
      </c>
      <c r="F272" s="12">
        <f>B272+E272</f>
        <v>1307.1699999999996</v>
      </c>
      <c r="G272" s="26"/>
    </row>
    <row r="273" spans="1:7" ht="26.25" customHeight="1">
      <c r="A273" s="29" t="s">
        <v>56</v>
      </c>
      <c r="B273" s="29">
        <v>24537.61</v>
      </c>
      <c r="C273" s="15">
        <f>335341-13065.41</f>
        <v>322275.59</v>
      </c>
      <c r="D273" s="15">
        <v>317629.04</v>
      </c>
      <c r="E273" s="12">
        <f>C273-D273</f>
        <v>4646.550000000047</v>
      </c>
      <c r="F273" s="12">
        <f>B273+E273</f>
        <v>29184.160000000047</v>
      </c>
      <c r="G273" s="26"/>
    </row>
    <row r="274" spans="1:7" ht="26.25" customHeight="1">
      <c r="A274" s="29" t="s">
        <v>10</v>
      </c>
      <c r="B274" s="29">
        <v>2225.18</v>
      </c>
      <c r="C274" s="15">
        <f>28607.23-614.97</f>
        <v>27992.26</v>
      </c>
      <c r="D274" s="15">
        <v>26564.83</v>
      </c>
      <c r="E274" s="12">
        <f>C274-D274</f>
        <v>1427.4299999999967</v>
      </c>
      <c r="F274" s="12">
        <f>B274+E274</f>
        <v>3652.6099999999965</v>
      </c>
      <c r="G274" s="26"/>
    </row>
    <row r="275" spans="1:12" ht="36.75" customHeight="1">
      <c r="A275" s="30" t="s">
        <v>33</v>
      </c>
      <c r="B275" s="30">
        <f>B272+B274+B273</f>
        <v>27494.64</v>
      </c>
      <c r="C275" s="30">
        <f>C272+C274+C273</f>
        <v>364491.06000000006</v>
      </c>
      <c r="D275" s="30">
        <f>D272+D274+D273</f>
        <v>357841.76</v>
      </c>
      <c r="E275" s="30">
        <f>E272+E274+E273</f>
        <v>6649.300000000043</v>
      </c>
      <c r="F275" s="30">
        <f>F272+F274+F273</f>
        <v>34143.940000000046</v>
      </c>
      <c r="G275" s="26"/>
      <c r="L275" s="68">
        <f>F275</f>
        <v>34143.940000000046</v>
      </c>
    </row>
    <row r="276" spans="1:7" ht="51" customHeight="1">
      <c r="A276" s="53" t="s">
        <v>81</v>
      </c>
      <c r="B276" s="54">
        <f>B266+B267+B270+B271+B275</f>
        <v>457594.08</v>
      </c>
      <c r="C276" s="54">
        <f>C266+C267+C270+C271+C275</f>
        <v>8278667.82</v>
      </c>
      <c r="D276" s="54">
        <f>D266+D267+D270+D271+D275</f>
        <v>7952545.3</v>
      </c>
      <c r="E276" s="54">
        <f>E266+E267+E270+E271+E275</f>
        <v>326122.51999999984</v>
      </c>
      <c r="F276" s="54">
        <f>F266+F267+F270+F271+F275</f>
        <v>783716.6</v>
      </c>
      <c r="G276" s="26"/>
    </row>
    <row r="277" spans="1:7" ht="26.25" customHeight="1">
      <c r="A277" s="53" t="s">
        <v>34</v>
      </c>
      <c r="B277" s="54"/>
      <c r="C277" s="54"/>
      <c r="D277" s="54"/>
      <c r="E277" s="54"/>
      <c r="F277" s="54"/>
      <c r="G277" s="26"/>
    </row>
    <row r="278" spans="1:7" ht="26.25" customHeight="1">
      <c r="A278" s="53" t="s">
        <v>35</v>
      </c>
      <c r="B278" s="54">
        <f>B271</f>
        <v>121740.2</v>
      </c>
      <c r="C278" s="54">
        <f>C271</f>
        <v>2517311.27</v>
      </c>
      <c r="D278" s="54">
        <f>D271</f>
        <v>2413370</v>
      </c>
      <c r="E278" s="54">
        <f>E271</f>
        <v>103941.27000000002</v>
      </c>
      <c r="F278" s="54">
        <f>F271</f>
        <v>225681.47000000003</v>
      </c>
      <c r="G278" s="26"/>
    </row>
    <row r="279" spans="1:7" ht="26.25" customHeight="1">
      <c r="A279" s="53" t="s">
        <v>36</v>
      </c>
      <c r="B279" s="54">
        <f>B266+B267+B270+B275</f>
        <v>335853.88</v>
      </c>
      <c r="C279" s="54">
        <f>C266+C267+C270+C275</f>
        <v>5761356.550000001</v>
      </c>
      <c r="D279" s="54">
        <f>D266+D267+D270+D275</f>
        <v>5539175.3</v>
      </c>
      <c r="E279" s="54">
        <f>E266+E267+E270+E275</f>
        <v>222181.24999999983</v>
      </c>
      <c r="F279" s="54">
        <f>F266+F267+F270+F275</f>
        <v>558035.1299999999</v>
      </c>
      <c r="G279" s="26"/>
    </row>
    <row r="280" spans="1:7" ht="45" customHeight="1">
      <c r="A280" s="37" t="s">
        <v>25</v>
      </c>
      <c r="B280" s="37" t="s">
        <v>72</v>
      </c>
      <c r="C280" s="37" t="s">
        <v>73</v>
      </c>
      <c r="D280" s="38" t="s">
        <v>74</v>
      </c>
      <c r="E280" s="39" t="s">
        <v>28</v>
      </c>
      <c r="F280" s="39" t="s">
        <v>75</v>
      </c>
      <c r="G280" s="26"/>
    </row>
    <row r="281" spans="1:7" ht="26.25" customHeight="1">
      <c r="A281" s="16" t="s">
        <v>57</v>
      </c>
      <c r="B281" s="20"/>
      <c r="C281" s="12"/>
      <c r="D281" s="12"/>
      <c r="E281" s="10"/>
      <c r="F281" s="10"/>
      <c r="G281" s="26"/>
    </row>
    <row r="282" spans="1:7" ht="26.25" customHeight="1">
      <c r="A282" s="29" t="s">
        <v>0</v>
      </c>
      <c r="B282" s="29">
        <v>7285.05</v>
      </c>
      <c r="C282" s="15">
        <f>138087.83-2001.72</f>
        <v>136086.11</v>
      </c>
      <c r="D282" s="15">
        <v>136473.08</v>
      </c>
      <c r="E282" s="12">
        <f>C282-D282</f>
        <v>-386.97000000000116</v>
      </c>
      <c r="F282" s="12">
        <f>B282+E282</f>
        <v>6898.079999999999</v>
      </c>
      <c r="G282" s="26"/>
    </row>
    <row r="283" spans="1:7" ht="26.25" customHeight="1">
      <c r="A283" s="29" t="s">
        <v>1</v>
      </c>
      <c r="B283" s="29">
        <v>587.14</v>
      </c>
      <c r="C283" s="15">
        <f>14934.65-243.39</f>
        <v>14691.26</v>
      </c>
      <c r="D283" s="15">
        <v>14732.57</v>
      </c>
      <c r="E283" s="12">
        <f>C283-D283</f>
        <v>-41.30999999999949</v>
      </c>
      <c r="F283" s="12">
        <f>B283+E283</f>
        <v>545.8300000000005</v>
      </c>
      <c r="G283" s="26"/>
    </row>
    <row r="284" spans="1:9" ht="26.25" customHeight="1">
      <c r="A284" s="30" t="s">
        <v>29</v>
      </c>
      <c r="B284" s="30">
        <f>B282+B283</f>
        <v>7872.1900000000005</v>
      </c>
      <c r="C284" s="30">
        <f>C282+C283</f>
        <v>150777.37</v>
      </c>
      <c r="D284" s="30">
        <f>D282+D283</f>
        <v>151205.65</v>
      </c>
      <c r="E284" s="30">
        <f>E282+E283</f>
        <v>-428.28000000000065</v>
      </c>
      <c r="F284" s="30">
        <f>F282+F283</f>
        <v>7443.91</v>
      </c>
      <c r="G284" s="26"/>
      <c r="I284" s="68">
        <f>F284</f>
        <v>7443.91</v>
      </c>
    </row>
    <row r="285" spans="1:7" ht="26.25" customHeight="1">
      <c r="A285" s="29" t="s">
        <v>4</v>
      </c>
      <c r="B285" s="29">
        <v>66141.04</v>
      </c>
      <c r="C285" s="15">
        <v>1388330.4</v>
      </c>
      <c r="D285" s="15">
        <v>1386139.38</v>
      </c>
      <c r="E285" s="12">
        <f>C285-D285</f>
        <v>2191.0200000000186</v>
      </c>
      <c r="F285" s="12">
        <f>B285+E285</f>
        <v>68332.06000000001</v>
      </c>
      <c r="G285" s="26"/>
    </row>
    <row r="286" spans="1:7" ht="26.25" customHeight="1" hidden="1">
      <c r="A286" s="29" t="s">
        <v>5</v>
      </c>
      <c r="B286" s="29"/>
      <c r="C286" s="12"/>
      <c r="D286" s="15"/>
      <c r="E286" s="12">
        <f>C286-D286</f>
        <v>0</v>
      </c>
      <c r="F286" s="12">
        <f>B286+E286</f>
        <v>0</v>
      </c>
      <c r="G286" s="26"/>
    </row>
    <row r="287" spans="1:11" ht="26.25" customHeight="1">
      <c r="A287" s="30" t="s">
        <v>50</v>
      </c>
      <c r="B287" s="30">
        <f>B285+B286</f>
        <v>66141.04</v>
      </c>
      <c r="C287" s="30">
        <f>C285+C286</f>
        <v>1388330.4</v>
      </c>
      <c r="D287" s="30">
        <f>D285+D286</f>
        <v>1386139.38</v>
      </c>
      <c r="E287" s="30">
        <f>E285+E286</f>
        <v>2191.0200000000186</v>
      </c>
      <c r="F287" s="30">
        <f>F285+F286</f>
        <v>68332.06000000001</v>
      </c>
      <c r="G287" s="26"/>
      <c r="K287" s="68">
        <f>F287</f>
        <v>68332.06000000001</v>
      </c>
    </row>
    <row r="288" spans="1:7" ht="26.25" customHeight="1">
      <c r="A288" s="29" t="s">
        <v>7</v>
      </c>
      <c r="B288" s="29">
        <v>31020.11</v>
      </c>
      <c r="C288" s="12">
        <v>686447.4</v>
      </c>
      <c r="D288" s="15">
        <v>684430.24</v>
      </c>
      <c r="E288" s="12">
        <f>C288-D288</f>
        <v>2017.1600000000326</v>
      </c>
      <c r="F288" s="12">
        <f>B288+E288</f>
        <v>33037.27000000003</v>
      </c>
      <c r="G288" s="26"/>
    </row>
    <row r="289" spans="1:7" ht="26.25" customHeight="1">
      <c r="A289" s="29" t="s">
        <v>8</v>
      </c>
      <c r="B289" s="29">
        <v>14733.97</v>
      </c>
      <c r="C289" s="15">
        <f>269488.64-3981.76</f>
        <v>265506.88</v>
      </c>
      <c r="D289" s="15">
        <v>267329.89</v>
      </c>
      <c r="E289" s="12">
        <f>C289-D289</f>
        <v>-1823.0100000000093</v>
      </c>
      <c r="F289" s="12">
        <f>B289+E289</f>
        <v>12910.95999999999</v>
      </c>
      <c r="G289" s="26"/>
    </row>
    <row r="290" spans="1:7" ht="26.25" customHeight="1">
      <c r="A290" s="29" t="s">
        <v>22</v>
      </c>
      <c r="B290" s="29">
        <v>372.96</v>
      </c>
      <c r="C290" s="15">
        <f>3232.66-940.63</f>
        <v>2292.0299999999997</v>
      </c>
      <c r="D290" s="15">
        <v>2540.87</v>
      </c>
      <c r="E290" s="12">
        <f>C290-D290</f>
        <v>-248.84000000000015</v>
      </c>
      <c r="F290" s="12">
        <f>B290+E290</f>
        <v>124.11999999999983</v>
      </c>
      <c r="G290" s="26"/>
    </row>
    <row r="291" spans="1:7" ht="40.5" customHeight="1">
      <c r="A291" s="29" t="s">
        <v>10</v>
      </c>
      <c r="B291" s="29">
        <v>1198.46</v>
      </c>
      <c r="C291" s="15">
        <f>30078.63-588.97</f>
        <v>29489.66</v>
      </c>
      <c r="D291" s="15">
        <v>29762.8</v>
      </c>
      <c r="E291" s="12">
        <f>C291-D291</f>
        <v>-273.1399999999994</v>
      </c>
      <c r="F291" s="12">
        <f>B291+E291</f>
        <v>925.3200000000006</v>
      </c>
      <c r="G291" s="26"/>
    </row>
    <row r="292" spans="1:12" ht="32.25" customHeight="1">
      <c r="A292" s="30" t="s">
        <v>33</v>
      </c>
      <c r="B292" s="30">
        <f>B289+B290+B291</f>
        <v>16305.39</v>
      </c>
      <c r="C292" s="30">
        <f>C289+C290+C291</f>
        <v>297288.57</v>
      </c>
      <c r="D292" s="30">
        <f>D289+D290+D291</f>
        <v>299633.56</v>
      </c>
      <c r="E292" s="30">
        <f>E289+E290+E291</f>
        <v>-2344.990000000009</v>
      </c>
      <c r="F292" s="30">
        <f>F289+F290+F291</f>
        <v>13960.39999999999</v>
      </c>
      <c r="G292" s="26"/>
      <c r="L292" s="68">
        <f>F292</f>
        <v>13960.39999999999</v>
      </c>
    </row>
    <row r="293" spans="1:16" ht="37.5" customHeight="1">
      <c r="A293" s="53" t="s">
        <v>81</v>
      </c>
      <c r="B293" s="54">
        <f>B284+B287+B288+B292</f>
        <v>121338.73</v>
      </c>
      <c r="C293" s="54">
        <f>C284+C287+C288+C292</f>
        <v>2522843.7399999998</v>
      </c>
      <c r="D293" s="54">
        <f>D284+D287+D288+D292</f>
        <v>2521408.8299999996</v>
      </c>
      <c r="E293" s="54">
        <f>E284+E287+E288+E292</f>
        <v>1434.9100000000417</v>
      </c>
      <c r="F293" s="54">
        <f>F284+F287+F288+F292</f>
        <v>122773.64000000004</v>
      </c>
      <c r="G293" s="26"/>
      <c r="P293" s="68"/>
    </row>
    <row r="294" spans="1:7" ht="26.25" customHeight="1">
      <c r="A294" s="53" t="s">
        <v>34</v>
      </c>
      <c r="B294" s="54"/>
      <c r="C294" s="54"/>
      <c r="D294" s="54"/>
      <c r="E294" s="54"/>
      <c r="F294" s="54"/>
      <c r="G294" s="26"/>
    </row>
    <row r="295" spans="1:7" ht="26.25" customHeight="1">
      <c r="A295" s="53" t="s">
        <v>35</v>
      </c>
      <c r="B295" s="54">
        <f>B288</f>
        <v>31020.11</v>
      </c>
      <c r="C295" s="54">
        <f>C288</f>
        <v>686447.4</v>
      </c>
      <c r="D295" s="54">
        <f>D288</f>
        <v>684430.24</v>
      </c>
      <c r="E295" s="54">
        <f>E288</f>
        <v>2017.1600000000326</v>
      </c>
      <c r="F295" s="54">
        <f>F288</f>
        <v>33037.27000000003</v>
      </c>
      <c r="G295" s="26"/>
    </row>
    <row r="296" spans="1:7" ht="26.25" customHeight="1">
      <c r="A296" s="53" t="s">
        <v>36</v>
      </c>
      <c r="B296" s="54">
        <f>B284+B287+B292</f>
        <v>90318.62</v>
      </c>
      <c r="C296" s="54">
        <f>C284+C287+C292</f>
        <v>1836396.34</v>
      </c>
      <c r="D296" s="54">
        <f>D284+D287+D292</f>
        <v>1836978.5899999999</v>
      </c>
      <c r="E296" s="54">
        <f>E284+E287+E292</f>
        <v>-582.2499999999909</v>
      </c>
      <c r="F296" s="54">
        <f>F284+F287+F292</f>
        <v>89736.37000000001</v>
      </c>
      <c r="G296" s="26"/>
    </row>
    <row r="297" spans="1:9" ht="53.25" customHeight="1">
      <c r="A297" s="64" t="s">
        <v>82</v>
      </c>
      <c r="B297" s="65">
        <f>B22+B42+B60+B80+B100+B120+B144+B173+B195+B217+B235+B257+B276+B293</f>
        <v>13174238.34</v>
      </c>
      <c r="C297" s="65">
        <f>C22+C42+C60+C80+C100+C120+C144+C173+C195+C217+C235+C257+C276+C293</f>
        <v>113124008.15000002</v>
      </c>
      <c r="D297" s="65">
        <f>D22+D42+D60+D80+D100+D120+D144+D173+D195+D217+D235+D257+D276+D293</f>
        <v>112031533.17000002</v>
      </c>
      <c r="E297" s="65">
        <f>E22+E42+E60+E80+E100+E120+E144+E173+E195+E217+E235+E257+E276+E293</f>
        <v>1092474.9800000025</v>
      </c>
      <c r="F297" s="65">
        <f>F22+F42+F60+F80+F100+F120+F144+F173+F195+F217+F235+F257+F276+F293</f>
        <v>14266713.320000006</v>
      </c>
      <c r="G297" s="26"/>
      <c r="I297" s="68"/>
    </row>
    <row r="298" spans="1:9" ht="26.25" customHeight="1">
      <c r="A298" s="66" t="s">
        <v>34</v>
      </c>
      <c r="B298" s="65"/>
      <c r="C298" s="65"/>
      <c r="D298" s="65"/>
      <c r="E298" s="65"/>
      <c r="F298" s="65"/>
      <c r="G298" s="26"/>
      <c r="I298" s="68"/>
    </row>
    <row r="299" spans="1:9" ht="26.25" customHeight="1">
      <c r="A299" s="66" t="s">
        <v>35</v>
      </c>
      <c r="B299" s="65">
        <f aca="true" t="shared" si="30" ref="B299:H300">B24+B44+B62+B82+B102+B122+B146+B175+B197+B219+B237+B259+B278+B295</f>
        <v>4297257.31</v>
      </c>
      <c r="C299" s="65">
        <f t="shared" si="30"/>
        <v>31071138.599999998</v>
      </c>
      <c r="D299" s="65">
        <f t="shared" si="30"/>
        <v>31842437.549999997</v>
      </c>
      <c r="E299" s="65">
        <f t="shared" si="30"/>
        <v>-771298.9499999989</v>
      </c>
      <c r="F299" s="65">
        <f t="shared" si="30"/>
        <v>3525958.3600000017</v>
      </c>
      <c r="G299" s="65">
        <f t="shared" si="30"/>
        <v>11612244.95</v>
      </c>
      <c r="H299" s="65">
        <f t="shared" si="30"/>
        <v>0</v>
      </c>
      <c r="I299" s="68"/>
    </row>
    <row r="300" spans="1:9" ht="26.25" customHeight="1">
      <c r="A300" s="66" t="s">
        <v>36</v>
      </c>
      <c r="B300" s="65">
        <f t="shared" si="30"/>
        <v>8641656.52</v>
      </c>
      <c r="C300" s="65">
        <f t="shared" si="30"/>
        <v>69434457.86000001</v>
      </c>
      <c r="D300" s="65">
        <f t="shared" si="30"/>
        <v>68659484.54</v>
      </c>
      <c r="E300" s="65">
        <f t="shared" si="30"/>
        <v>774973.3200000015</v>
      </c>
      <c r="F300" s="65">
        <f t="shared" si="30"/>
        <v>9416629.840000002</v>
      </c>
      <c r="G300" s="26"/>
      <c r="I300" s="68"/>
    </row>
    <row r="301" spans="1:14" ht="26.25" customHeight="1">
      <c r="A301" s="67" t="s">
        <v>58</v>
      </c>
      <c r="B301" s="67">
        <f>B177+B46+B84+B26+B64+B104+B124+B148+B199+B221+B239+B261</f>
        <v>235324.50999999998</v>
      </c>
      <c r="C301" s="67">
        <f>C177+C46+C84+C26+C64+C104+C124+C148+C199+C221+C239+C261</f>
        <v>12618411.690000001</v>
      </c>
      <c r="D301" s="67">
        <f>D177+D46+D84+D26+D64+D104+D124+D148+D199+D221+D239+D261</f>
        <v>11529611.08</v>
      </c>
      <c r="E301" s="67">
        <f>E177+E46+E84+E26+E64+E104+E124+E148+E199+E221+E239+E261</f>
        <v>1088800.6099999999</v>
      </c>
      <c r="F301" s="67">
        <f>F177+F46+F84+F26+F64+F104+F124+F148+F199+F221+F239+F261</f>
        <v>1324125.1199999999</v>
      </c>
      <c r="G301" s="57" t="e">
        <f>G177+G46+G84+G26+G64+#REF!+G104</f>
        <v>#VALUE!</v>
      </c>
      <c r="I301" s="68">
        <f>SUM(I5:I300)</f>
        <v>466795.3400000001</v>
      </c>
      <c r="J301" s="68">
        <f>SUM(J5:J300)</f>
        <v>1926965.4900000002</v>
      </c>
      <c r="K301" s="68">
        <f>SUM(K5:K300)</f>
        <v>5619525.48</v>
      </c>
      <c r="L301" s="68">
        <f>SUM(L5:L300)</f>
        <v>571675.8000000003</v>
      </c>
      <c r="M301" s="68">
        <f>SUM(M5:M300)</f>
        <v>831667.7299999999</v>
      </c>
      <c r="N301" s="68">
        <f>SUM(I301:M301)</f>
        <v>9416629.840000002</v>
      </c>
    </row>
    <row r="302" spans="1:14" ht="26.25" customHeight="1">
      <c r="A302" s="26"/>
      <c r="B302" s="26"/>
      <c r="C302" s="26"/>
      <c r="D302" s="26"/>
      <c r="E302" s="26"/>
      <c r="F302" s="26"/>
      <c r="G302" s="26"/>
      <c r="N302" s="68">
        <f>F300-N301</f>
        <v>0</v>
      </c>
    </row>
    <row r="303" spans="1:7" ht="26.25" customHeight="1">
      <c r="A303" s="70" t="s">
        <v>83</v>
      </c>
      <c r="B303"/>
      <c r="C303"/>
      <c r="D303"/>
      <c r="E303"/>
      <c r="F303"/>
      <c r="G303"/>
    </row>
    <row r="304" spans="1:7" ht="26.25" customHeight="1">
      <c r="A304" s="26"/>
      <c r="B304" s="26"/>
      <c r="C304" s="26"/>
      <c r="D304" s="26"/>
      <c r="E304" s="26"/>
      <c r="F304" s="26"/>
      <c r="G304" s="26"/>
    </row>
    <row r="305" spans="1:7" ht="26.25" customHeight="1">
      <c r="A305" s="26"/>
      <c r="B305" s="26"/>
      <c r="C305" s="26"/>
      <c r="D305" s="26"/>
      <c r="E305" s="26"/>
      <c r="F305" s="26"/>
      <c r="G305" s="26"/>
    </row>
    <row r="306" spans="1:7" ht="26.25" customHeight="1">
      <c r="A306" s="26"/>
      <c r="B306" s="26"/>
      <c r="C306" s="26"/>
      <c r="D306" s="26"/>
      <c r="E306" s="26"/>
      <c r="F306" s="26"/>
      <c r="G306" s="26"/>
    </row>
    <row r="307" spans="1:7" ht="26.25" customHeight="1">
      <c r="A307" s="26"/>
      <c r="B307" s="26"/>
      <c r="C307" s="26"/>
      <c r="D307" s="26"/>
      <c r="E307" s="26"/>
      <c r="F307" s="26"/>
      <c r="G307" s="26"/>
    </row>
    <row r="308" spans="1:7" ht="26.25" customHeight="1">
      <c r="A308" s="26"/>
      <c r="B308" s="26"/>
      <c r="C308" s="26"/>
      <c r="D308" s="26"/>
      <c r="E308" s="26"/>
      <c r="F308" s="26"/>
      <c r="G308" s="26"/>
    </row>
    <row r="309" spans="1:7" ht="26.25" customHeight="1">
      <c r="A309" s="26"/>
      <c r="B309" s="26"/>
      <c r="C309" s="26"/>
      <c r="D309" s="26"/>
      <c r="E309" s="26"/>
      <c r="F309" s="26"/>
      <c r="G309" s="26"/>
    </row>
    <row r="310" spans="1:7" ht="26.25" customHeight="1">
      <c r="A310" s="26"/>
      <c r="B310" s="26"/>
      <c r="C310" s="26"/>
      <c r="D310" s="26"/>
      <c r="E310" s="26"/>
      <c r="F310" s="26"/>
      <c r="G310" s="26"/>
    </row>
    <row r="311" spans="1:7" ht="26.25" customHeight="1">
      <c r="A311" s="26"/>
      <c r="B311" s="26"/>
      <c r="C311" s="26"/>
      <c r="D311" s="26"/>
      <c r="E311" s="26"/>
      <c r="F311" s="26"/>
      <c r="G311" s="26"/>
    </row>
    <row r="312" spans="1:7" ht="26.25" customHeight="1">
      <c r="A312" s="26"/>
      <c r="B312" s="26"/>
      <c r="C312" s="26"/>
      <c r="D312" s="26"/>
      <c r="E312" s="26"/>
      <c r="F312" s="26"/>
      <c r="G312" s="26"/>
    </row>
    <row r="313" spans="1:7" ht="26.25" customHeight="1">
      <c r="A313" s="26"/>
      <c r="B313" s="26"/>
      <c r="C313" s="26"/>
      <c r="D313" s="26"/>
      <c r="E313" s="26"/>
      <c r="F313" s="26"/>
      <c r="G313" s="26"/>
    </row>
    <row r="314" spans="1:7" ht="26.25" customHeight="1">
      <c r="A314" s="26"/>
      <c r="B314" s="26"/>
      <c r="C314" s="26"/>
      <c r="D314" s="26"/>
      <c r="E314" s="26"/>
      <c r="F314" s="26"/>
      <c r="G314" s="26"/>
    </row>
    <row r="315" spans="1:7" ht="26.25" customHeight="1">
      <c r="A315" s="26"/>
      <c r="B315" s="26"/>
      <c r="C315" s="26"/>
      <c r="D315" s="26"/>
      <c r="E315" s="26"/>
      <c r="F315" s="26"/>
      <c r="G315" s="26"/>
    </row>
    <row r="316" spans="1:7" ht="26.25" customHeight="1">
      <c r="A316" s="26"/>
      <c r="B316" s="26"/>
      <c r="C316" s="26"/>
      <c r="D316" s="26"/>
      <c r="E316" s="26"/>
      <c r="F316" s="26"/>
      <c r="G316" s="26"/>
    </row>
    <row r="317" spans="1:7" ht="26.25" customHeight="1">
      <c r="A317" s="26"/>
      <c r="B317" s="26"/>
      <c r="C317" s="26"/>
      <c r="D317" s="26"/>
      <c r="E317" s="26"/>
      <c r="F317" s="26"/>
      <c r="G317" s="26"/>
    </row>
    <row r="318" spans="1:7" ht="26.25" customHeight="1">
      <c r="A318" s="26"/>
      <c r="B318" s="26"/>
      <c r="C318" s="26"/>
      <c r="D318" s="26"/>
      <c r="E318" s="26"/>
      <c r="F318" s="26"/>
      <c r="G318" s="26"/>
    </row>
    <row r="319" spans="1:7" ht="26.25" customHeight="1">
      <c r="A319" s="26"/>
      <c r="B319" s="26"/>
      <c r="C319" s="26"/>
      <c r="D319" s="26"/>
      <c r="E319" s="26"/>
      <c r="F319" s="26"/>
      <c r="G319" s="26"/>
    </row>
    <row r="320" spans="1:7" ht="26.25" customHeight="1">
      <c r="A320" s="26"/>
      <c r="B320" s="26"/>
      <c r="C320" s="26"/>
      <c r="D320" s="26"/>
      <c r="E320" s="26"/>
      <c r="F320" s="26"/>
      <c r="G320" s="26"/>
    </row>
    <row r="321" spans="1:7" ht="26.25" customHeight="1">
      <c r="A321" s="26"/>
      <c r="B321" s="26"/>
      <c r="C321" s="26"/>
      <c r="D321" s="26"/>
      <c r="E321" s="26"/>
      <c r="F321" s="26"/>
      <c r="G321" s="26"/>
    </row>
    <row r="322" spans="1:7" ht="26.25" customHeight="1">
      <c r="A322" s="26"/>
      <c r="B322" s="26"/>
      <c r="C322" s="26"/>
      <c r="D322" s="26"/>
      <c r="E322" s="26"/>
      <c r="F322" s="26"/>
      <c r="G322" s="26"/>
    </row>
    <row r="323" spans="1:7" ht="26.25" customHeight="1">
      <c r="A323" s="26"/>
      <c r="B323" s="26"/>
      <c r="C323" s="26"/>
      <c r="D323" s="26"/>
      <c r="E323" s="26"/>
      <c r="F323" s="26"/>
      <c r="G323" s="26"/>
    </row>
    <row r="324" spans="1:7" ht="26.25" customHeight="1">
      <c r="A324" s="26"/>
      <c r="B324" s="26"/>
      <c r="C324" s="26"/>
      <c r="D324" s="26"/>
      <c r="E324" s="26"/>
      <c r="F324" s="26"/>
      <c r="G324" s="26"/>
    </row>
    <row r="325" spans="1:7" ht="26.25" customHeight="1">
      <c r="A325" s="26"/>
      <c r="B325" s="26"/>
      <c r="C325" s="26"/>
      <c r="D325" s="26"/>
      <c r="E325" s="26"/>
      <c r="F325" s="26"/>
      <c r="G325" s="26"/>
    </row>
    <row r="326" spans="1:7" ht="26.25" customHeight="1">
      <c r="A326" s="26"/>
      <c r="B326" s="26"/>
      <c r="C326" s="26"/>
      <c r="D326" s="26"/>
      <c r="E326" s="26"/>
      <c r="F326" s="26"/>
      <c r="G326" s="26"/>
    </row>
    <row r="327" spans="1:7" ht="26.25" customHeight="1">
      <c r="A327" s="26"/>
      <c r="B327" s="26"/>
      <c r="C327" s="26"/>
      <c r="D327" s="26"/>
      <c r="E327" s="26"/>
      <c r="F327" s="26"/>
      <c r="G327" s="26"/>
    </row>
    <row r="328" spans="1:7" ht="26.25" customHeight="1">
      <c r="A328" s="26"/>
      <c r="B328" s="26"/>
      <c r="C328" s="26"/>
      <c r="D328" s="26"/>
      <c r="E328" s="26"/>
      <c r="F328" s="26"/>
      <c r="G328" s="26"/>
    </row>
    <row r="329" spans="1:7" ht="26.25" customHeight="1">
      <c r="A329" s="26"/>
      <c r="B329" s="26"/>
      <c r="C329" s="26"/>
      <c r="D329" s="26"/>
      <c r="E329" s="26"/>
      <c r="F329" s="26"/>
      <c r="G329" s="26"/>
    </row>
    <row r="330" spans="1:7" ht="26.25" customHeight="1">
      <c r="A330" s="26"/>
      <c r="B330" s="26"/>
      <c r="C330" s="26"/>
      <c r="D330" s="26"/>
      <c r="E330" s="26"/>
      <c r="F330" s="26"/>
      <c r="G330" s="26"/>
    </row>
    <row r="331" spans="1:7" ht="26.25" customHeight="1">
      <c r="A331" s="26"/>
      <c r="B331" s="26"/>
      <c r="C331" s="26"/>
      <c r="D331" s="26"/>
      <c r="E331" s="26"/>
      <c r="F331" s="26"/>
      <c r="G331" s="26"/>
    </row>
    <row r="332" spans="1:7" ht="26.25" customHeight="1">
      <c r="A332" s="26"/>
      <c r="B332" s="26"/>
      <c r="C332" s="26"/>
      <c r="D332" s="26"/>
      <c r="E332" s="26"/>
      <c r="F332" s="26"/>
      <c r="G332" s="26"/>
    </row>
    <row r="333" spans="1:7" ht="26.25" customHeight="1">
      <c r="A333" s="26"/>
      <c r="B333" s="26"/>
      <c r="C333" s="26"/>
      <c r="D333" s="26"/>
      <c r="E333" s="26"/>
      <c r="F333" s="26"/>
      <c r="G333" s="26"/>
    </row>
    <row r="334" spans="1:7" ht="26.25" customHeight="1">
      <c r="A334" s="26"/>
      <c r="B334" s="26"/>
      <c r="C334" s="26"/>
      <c r="D334" s="26"/>
      <c r="E334" s="26"/>
      <c r="F334" s="26"/>
      <c r="G334" s="26"/>
    </row>
    <row r="335" spans="1:7" ht="26.25" customHeight="1">
      <c r="A335" s="26"/>
      <c r="B335" s="26"/>
      <c r="C335" s="26"/>
      <c r="D335" s="26"/>
      <c r="E335" s="26"/>
      <c r="F335" s="26"/>
      <c r="G335" s="26"/>
    </row>
    <row r="336" spans="1:7" ht="26.25" customHeight="1">
      <c r="A336" s="26"/>
      <c r="B336" s="26"/>
      <c r="C336" s="26"/>
      <c r="D336" s="26"/>
      <c r="E336" s="26"/>
      <c r="F336" s="26"/>
      <c r="G336" s="26"/>
    </row>
    <row r="337" spans="1:7" ht="26.25" customHeight="1">
      <c r="A337" s="26"/>
      <c r="B337" s="26"/>
      <c r="C337" s="26"/>
      <c r="D337" s="26"/>
      <c r="E337" s="26"/>
      <c r="F337" s="26"/>
      <c r="G337" s="26"/>
    </row>
    <row r="338" spans="1:7" ht="26.25" customHeight="1">
      <c r="A338" s="26"/>
      <c r="B338" s="26"/>
      <c r="C338" s="26"/>
      <c r="D338" s="26"/>
      <c r="E338" s="26"/>
      <c r="F338" s="26"/>
      <c r="G338" s="26"/>
    </row>
    <row r="339" spans="1:7" ht="26.25" customHeight="1">
      <c r="A339" s="26"/>
      <c r="B339" s="26"/>
      <c r="C339" s="26"/>
      <c r="D339" s="26"/>
      <c r="E339" s="26"/>
      <c r="F339" s="26"/>
      <c r="G339" s="26"/>
    </row>
    <row r="340" spans="1:7" ht="26.25" customHeight="1">
      <c r="A340" s="26"/>
      <c r="B340" s="26"/>
      <c r="C340" s="26"/>
      <c r="D340" s="26"/>
      <c r="E340" s="26"/>
      <c r="F340" s="26"/>
      <c r="G340" s="26"/>
    </row>
    <row r="341" spans="1:7" ht="26.25" customHeight="1">
      <c r="A341" s="2"/>
      <c r="B341" s="2"/>
      <c r="C341" s="2"/>
      <c r="D341" s="2"/>
      <c r="E341" s="2"/>
      <c r="F341" s="2"/>
      <c r="G341" s="2"/>
    </row>
    <row r="342" spans="1:7" ht="26.25" customHeight="1">
      <c r="A342" s="2"/>
      <c r="B342" s="2"/>
      <c r="C342" s="2"/>
      <c r="D342" s="2"/>
      <c r="E342" s="2"/>
      <c r="F342" s="2"/>
      <c r="G342" s="2"/>
    </row>
    <row r="343" spans="1:7" ht="26.25" customHeight="1">
      <c r="A343" s="2"/>
      <c r="B343" s="2"/>
      <c r="C343" s="2"/>
      <c r="D343" s="2"/>
      <c r="E343" s="2"/>
      <c r="F343" s="2"/>
      <c r="G343" s="2"/>
    </row>
    <row r="344" spans="1:7" ht="26.25" customHeight="1">
      <c r="A344" s="2"/>
      <c r="B344" s="2"/>
      <c r="C344" s="2"/>
      <c r="D344" s="2"/>
      <c r="E344" s="2"/>
      <c r="F344" s="2"/>
      <c r="G344" s="2"/>
    </row>
    <row r="345" spans="1:7" ht="26.25" customHeight="1">
      <c r="A345" s="2"/>
      <c r="B345" s="2"/>
      <c r="C345" s="2"/>
      <c r="D345" s="2"/>
      <c r="E345" s="2"/>
      <c r="F345" s="2"/>
      <c r="G345" s="2"/>
    </row>
    <row r="346" spans="1:7" ht="26.25" customHeight="1">
      <c r="A346" s="2"/>
      <c r="B346" s="2"/>
      <c r="C346" s="2"/>
      <c r="D346" s="2"/>
      <c r="E346" s="2"/>
      <c r="F346" s="2"/>
      <c r="G346" s="2"/>
    </row>
    <row r="347" spans="1:7" ht="26.25" customHeight="1">
      <c r="A347" s="2"/>
      <c r="B347" s="2"/>
      <c r="C347" s="2"/>
      <c r="D347" s="2"/>
      <c r="E347" s="2"/>
      <c r="F347" s="2"/>
      <c r="G347" s="2"/>
    </row>
    <row r="348" spans="1:7" ht="26.25" customHeight="1">
      <c r="A348" s="2"/>
      <c r="B348" s="2"/>
      <c r="C348" s="2"/>
      <c r="D348" s="2"/>
      <c r="E348" s="2"/>
      <c r="F348" s="2"/>
      <c r="G348" s="2"/>
    </row>
    <row r="349" spans="1:7" ht="26.25" customHeight="1">
      <c r="A349" s="2"/>
      <c r="B349" s="2"/>
      <c r="C349" s="2"/>
      <c r="D349" s="2"/>
      <c r="E349" s="2"/>
      <c r="F349" s="2"/>
      <c r="G349" s="2"/>
    </row>
    <row r="350" spans="1:7" ht="26.25" customHeight="1">
      <c r="A350" s="2"/>
      <c r="B350" s="2"/>
      <c r="C350" s="2"/>
      <c r="D350" s="2"/>
      <c r="E350" s="2"/>
      <c r="F350" s="2"/>
      <c r="G350" s="2"/>
    </row>
    <row r="351" spans="1:7" ht="26.25" customHeight="1">
      <c r="A351" s="2"/>
      <c r="B351" s="2"/>
      <c r="C351" s="2"/>
      <c r="D351" s="2"/>
      <c r="E351" s="2"/>
      <c r="F351" s="2"/>
      <c r="G351" s="2"/>
    </row>
    <row r="352" spans="1:7" ht="26.25" customHeight="1">
      <c r="A352" s="2"/>
      <c r="B352" s="2"/>
      <c r="C352" s="2"/>
      <c r="D352" s="2"/>
      <c r="E352" s="2"/>
      <c r="F352" s="2"/>
      <c r="G352" s="2"/>
    </row>
    <row r="353" spans="1:7" ht="26.25" customHeight="1">
      <c r="A353" s="2"/>
      <c r="B353" s="2"/>
      <c r="C353" s="2"/>
      <c r="D353" s="2"/>
      <c r="E353" s="2"/>
      <c r="F353" s="2"/>
      <c r="G353" s="2"/>
    </row>
    <row r="354" spans="1:7" ht="26.25" customHeight="1">
      <c r="A354" s="2"/>
      <c r="B354" s="2"/>
      <c r="C354" s="2"/>
      <c r="D354" s="2"/>
      <c r="E354" s="2"/>
      <c r="F354" s="2"/>
      <c r="G354" s="2"/>
    </row>
    <row r="355" spans="1:7" ht="26.25" customHeight="1">
      <c r="A355" s="2"/>
      <c r="B355" s="2"/>
      <c r="C355" s="2"/>
      <c r="D355" s="2"/>
      <c r="E355" s="2"/>
      <c r="F355" s="2"/>
      <c r="G355" s="2"/>
    </row>
    <row r="356" spans="1:7" ht="26.25" customHeight="1">
      <c r="A356" s="2"/>
      <c r="B356" s="2"/>
      <c r="C356" s="2"/>
      <c r="D356" s="2"/>
      <c r="E356" s="2"/>
      <c r="F356" s="2"/>
      <c r="G356" s="2"/>
    </row>
    <row r="357" spans="1:7" ht="26.25" customHeight="1">
      <c r="A357" s="2"/>
      <c r="B357" s="2"/>
      <c r="C357" s="2"/>
      <c r="D357" s="2"/>
      <c r="E357" s="2"/>
      <c r="F357" s="2"/>
      <c r="G357" s="2"/>
    </row>
    <row r="358" spans="1:7" ht="26.25" customHeight="1">
      <c r="A358" s="2"/>
      <c r="B358" s="2"/>
      <c r="C358" s="2"/>
      <c r="D358" s="2"/>
      <c r="E358" s="2"/>
      <c r="F358" s="2"/>
      <c r="G358" s="2"/>
    </row>
    <row r="359" spans="1:7" ht="26.25" customHeight="1">
      <c r="A359" s="2"/>
      <c r="B359" s="2"/>
      <c r="C359" s="2"/>
      <c r="D359" s="2"/>
      <c r="E359" s="2"/>
      <c r="F359" s="2"/>
      <c r="G359" s="2"/>
    </row>
    <row r="360" spans="1:7" ht="26.25" customHeight="1">
      <c r="A360" s="2"/>
      <c r="B360" s="2"/>
      <c r="C360" s="2"/>
      <c r="D360" s="2"/>
      <c r="E360" s="2"/>
      <c r="F360" s="2"/>
      <c r="G360" s="2"/>
    </row>
    <row r="361" spans="1:7" ht="26.25" customHeight="1">
      <c r="A361" s="2"/>
      <c r="B361" s="2"/>
      <c r="C361" s="2"/>
      <c r="D361" s="2"/>
      <c r="E361" s="2"/>
      <c r="F361" s="2"/>
      <c r="G361" s="2"/>
    </row>
    <row r="362" spans="1:7" ht="26.25" customHeight="1">
      <c r="A362" s="2"/>
      <c r="B362" s="2"/>
      <c r="C362" s="2"/>
      <c r="D362" s="2"/>
      <c r="E362" s="2"/>
      <c r="F362" s="2"/>
      <c r="G362" s="2"/>
    </row>
    <row r="363" spans="1:7" ht="26.25" customHeight="1">
      <c r="A363" s="2"/>
      <c r="B363" s="2"/>
      <c r="C363" s="2"/>
      <c r="D363" s="2"/>
      <c r="E363" s="2"/>
      <c r="F363" s="2"/>
      <c r="G363" s="2"/>
    </row>
    <row r="364" spans="1:7" ht="26.25" customHeight="1">
      <c r="A364" s="2"/>
      <c r="B364" s="2"/>
      <c r="C364" s="2"/>
      <c r="D364" s="2"/>
      <c r="E364" s="2"/>
      <c r="F364" s="2"/>
      <c r="G364" s="2"/>
    </row>
    <row r="365" spans="1:7" ht="26.25" customHeight="1">
      <c r="A365" s="2"/>
      <c r="B365" s="2"/>
      <c r="C365" s="2"/>
      <c r="D365" s="2"/>
      <c r="E365" s="2"/>
      <c r="F365" s="2"/>
      <c r="G365" s="2"/>
    </row>
    <row r="366" spans="1:7" ht="26.25" customHeight="1">
      <c r="A366" s="2"/>
      <c r="B366" s="2"/>
      <c r="C366" s="2"/>
      <c r="D366" s="2"/>
      <c r="E366" s="2"/>
      <c r="F366" s="2"/>
      <c r="G366" s="2"/>
    </row>
    <row r="367" spans="1:7" ht="26.25" customHeight="1">
      <c r="A367" s="2"/>
      <c r="B367" s="2"/>
      <c r="C367" s="2"/>
      <c r="D367" s="2"/>
      <c r="E367" s="2"/>
      <c r="F367" s="2"/>
      <c r="G367" s="2"/>
    </row>
    <row r="368" spans="1:7" ht="26.25" customHeight="1">
      <c r="A368" s="2"/>
      <c r="B368" s="2"/>
      <c r="C368" s="2"/>
      <c r="D368" s="2"/>
      <c r="E368" s="2"/>
      <c r="F368" s="2"/>
      <c r="G368" s="2"/>
    </row>
    <row r="369" spans="1:7" ht="26.25" customHeight="1">
      <c r="A369" s="2"/>
      <c r="B369" s="2"/>
      <c r="C369" s="2"/>
      <c r="D369" s="2"/>
      <c r="E369" s="2"/>
      <c r="F369" s="2"/>
      <c r="G369" s="2"/>
    </row>
    <row r="370" spans="1:7" ht="26.25" customHeight="1">
      <c r="A370" s="2"/>
      <c r="B370" s="2"/>
      <c r="C370" s="2"/>
      <c r="D370" s="2"/>
      <c r="E370" s="2"/>
      <c r="F370" s="2"/>
      <c r="G370" s="2"/>
    </row>
    <row r="371" spans="1:7" ht="26.25" customHeight="1">
      <c r="A371" s="2"/>
      <c r="B371" s="2"/>
      <c r="C371" s="2"/>
      <c r="D371" s="2"/>
      <c r="E371" s="2"/>
      <c r="F371" s="2"/>
      <c r="G371" s="2"/>
    </row>
    <row r="372" spans="1:7" ht="26.25" customHeight="1">
      <c r="A372" s="2"/>
      <c r="B372" s="2"/>
      <c r="C372" s="2"/>
      <c r="D372" s="2"/>
      <c r="E372" s="2"/>
      <c r="F372" s="2"/>
      <c r="G372" s="2"/>
    </row>
    <row r="373" spans="1:7" ht="26.25" customHeight="1">
      <c r="A373" s="2"/>
      <c r="B373" s="2"/>
      <c r="C373" s="2"/>
      <c r="D373" s="2"/>
      <c r="E373" s="2"/>
      <c r="F373" s="2"/>
      <c r="G373" s="2"/>
    </row>
    <row r="374" spans="1:7" ht="26.25" customHeight="1">
      <c r="A374" s="2"/>
      <c r="B374" s="2"/>
      <c r="C374" s="2"/>
      <c r="D374" s="2"/>
      <c r="E374" s="2"/>
      <c r="F374" s="2"/>
      <c r="G374" s="2"/>
    </row>
    <row r="375" spans="1:7" ht="26.25" customHeight="1">
      <c r="A375" s="2"/>
      <c r="B375" s="2"/>
      <c r="C375" s="2"/>
      <c r="D375" s="2"/>
      <c r="E375" s="2"/>
      <c r="F375" s="2"/>
      <c r="G375" s="2"/>
    </row>
    <row r="376" spans="1:7" ht="26.25" customHeight="1">
      <c r="A376" s="2"/>
      <c r="B376" s="2"/>
      <c r="C376" s="2"/>
      <c r="D376" s="2"/>
      <c r="E376" s="2"/>
      <c r="F376" s="2"/>
      <c r="G376" s="2"/>
    </row>
    <row r="377" spans="1:7" ht="26.25" customHeight="1">
      <c r="A377" s="2"/>
      <c r="B377" s="2"/>
      <c r="C377" s="2"/>
      <c r="D377" s="2"/>
      <c r="E377" s="2"/>
      <c r="F377" s="2"/>
      <c r="G377" s="2"/>
    </row>
    <row r="378" spans="1:7" ht="26.25" customHeight="1">
      <c r="A378" s="2"/>
      <c r="B378" s="2"/>
      <c r="C378" s="2"/>
      <c r="D378" s="2"/>
      <c r="E378" s="2"/>
      <c r="F378" s="2"/>
      <c r="G378" s="2"/>
    </row>
    <row r="379" spans="1:7" ht="26.25" customHeight="1">
      <c r="A379" s="2"/>
      <c r="B379" s="2"/>
      <c r="C379" s="2"/>
      <c r="D379" s="2"/>
      <c r="E379" s="2"/>
      <c r="F379" s="2"/>
      <c r="G379" s="2"/>
    </row>
    <row r="380" spans="1:7" ht="26.25" customHeight="1">
      <c r="A380" s="2"/>
      <c r="B380" s="2"/>
      <c r="C380" s="2"/>
      <c r="D380" s="2"/>
      <c r="E380" s="2"/>
      <c r="F380" s="2"/>
      <c r="G380" s="2"/>
    </row>
    <row r="381" spans="1:7" ht="26.25" customHeight="1">
      <c r="A381" s="2"/>
      <c r="B381" s="2"/>
      <c r="C381" s="2"/>
      <c r="D381" s="2"/>
      <c r="E381" s="2"/>
      <c r="F381" s="2"/>
      <c r="G381" s="2"/>
    </row>
    <row r="382" spans="1:7" ht="26.25" customHeight="1">
      <c r="A382" s="2"/>
      <c r="B382" s="2"/>
      <c r="C382" s="2"/>
      <c r="D382" s="2"/>
      <c r="E382" s="2"/>
      <c r="F382" s="2"/>
      <c r="G382" s="2"/>
    </row>
    <row r="383" spans="1:7" ht="26.25" customHeight="1">
      <c r="A383" s="2"/>
      <c r="B383" s="2"/>
      <c r="C383" s="2"/>
      <c r="D383" s="2"/>
      <c r="E383" s="2"/>
      <c r="F383" s="2"/>
      <c r="G383" s="2"/>
    </row>
    <row r="384" spans="1:7" ht="26.25" customHeight="1">
      <c r="A384" s="2"/>
      <c r="B384" s="2"/>
      <c r="C384" s="2"/>
      <c r="D384" s="2"/>
      <c r="E384" s="2"/>
      <c r="F384" s="2"/>
      <c r="G384" s="2"/>
    </row>
    <row r="385" spans="1:7" ht="26.25" customHeight="1">
      <c r="A385" s="2"/>
      <c r="B385" s="2"/>
      <c r="C385" s="2"/>
      <c r="D385" s="2"/>
      <c r="E385" s="2"/>
      <c r="F385" s="2"/>
      <c r="G385" s="2"/>
    </row>
    <row r="386" spans="1:7" ht="26.25" customHeight="1">
      <c r="A386" s="2"/>
      <c r="B386" s="2"/>
      <c r="C386" s="2"/>
      <c r="D386" s="2"/>
      <c r="E386" s="2"/>
      <c r="F386" s="2"/>
      <c r="G386" s="2"/>
    </row>
    <row r="387" spans="1:7" ht="26.25" customHeight="1">
      <c r="A387" s="2"/>
      <c r="B387" s="2"/>
      <c r="C387" s="2"/>
      <c r="D387" s="2"/>
      <c r="E387" s="2"/>
      <c r="F387" s="2"/>
      <c r="G387" s="2"/>
    </row>
    <row r="388" spans="1:7" ht="26.25" customHeight="1">
      <c r="A388" s="2"/>
      <c r="B388" s="2"/>
      <c r="C388" s="2"/>
      <c r="D388" s="2"/>
      <c r="E388" s="2"/>
      <c r="F388" s="2"/>
      <c r="G388" s="2"/>
    </row>
    <row r="389" spans="1:7" ht="26.25" customHeight="1">
      <c r="A389" s="2"/>
      <c r="B389" s="2"/>
      <c r="C389" s="2"/>
      <c r="D389" s="2"/>
      <c r="E389" s="2"/>
      <c r="F389" s="2"/>
      <c r="G389" s="2"/>
    </row>
    <row r="390" spans="1:7" ht="26.25" customHeight="1">
      <c r="A390" s="2"/>
      <c r="B390" s="2"/>
      <c r="C390" s="2"/>
      <c r="D390" s="2"/>
      <c r="E390" s="2"/>
      <c r="F390" s="2"/>
      <c r="G390" s="2"/>
    </row>
    <row r="391" spans="1:7" ht="15">
      <c r="A391" s="2"/>
      <c r="B391" s="2"/>
      <c r="C391" s="2"/>
      <c r="D391" s="2"/>
      <c r="E391" s="2"/>
      <c r="F391" s="2"/>
      <c r="G391" s="2"/>
    </row>
    <row r="392" spans="1:7" ht="15">
      <c r="A392" s="2"/>
      <c r="B392" s="2"/>
      <c r="C392" s="2"/>
      <c r="D392" s="2"/>
      <c r="E392" s="2"/>
      <c r="F392" s="2"/>
      <c r="G392" s="2"/>
    </row>
    <row r="393" spans="1:7" ht="15">
      <c r="A393" s="2"/>
      <c r="B393" s="2"/>
      <c r="C393" s="2"/>
      <c r="D393" s="2"/>
      <c r="E393" s="2"/>
      <c r="F393" s="2"/>
      <c r="G393" s="2"/>
    </row>
    <row r="394" spans="1:7" ht="15">
      <c r="A394" s="2"/>
      <c r="B394" s="2"/>
      <c r="C394" s="2"/>
      <c r="D394" s="2"/>
      <c r="E394" s="2"/>
      <c r="F394" s="2"/>
      <c r="G394" s="2"/>
    </row>
    <row r="395" spans="1:7" ht="15">
      <c r="A395" s="2"/>
      <c r="B395" s="2"/>
      <c r="C395" s="2"/>
      <c r="D395" s="2"/>
      <c r="E395" s="2"/>
      <c r="F395" s="2"/>
      <c r="G395" s="2"/>
    </row>
    <row r="396" spans="1:7" ht="15">
      <c r="A396" s="2"/>
      <c r="B396" s="2"/>
      <c r="C396" s="2"/>
      <c r="D396" s="2"/>
      <c r="E396" s="2"/>
      <c r="F396" s="2"/>
      <c r="G396" s="2"/>
    </row>
    <row r="397" spans="1:7" ht="15">
      <c r="A397" s="2"/>
      <c r="B397" s="2"/>
      <c r="C397" s="2"/>
      <c r="D397" s="2"/>
      <c r="E397" s="2"/>
      <c r="F397" s="2"/>
      <c r="G397" s="2"/>
    </row>
    <row r="398" spans="1:7" ht="15">
      <c r="A398" s="2"/>
      <c r="B398" s="2"/>
      <c r="C398" s="2"/>
      <c r="D398" s="2"/>
      <c r="E398" s="2"/>
      <c r="F398" s="2"/>
      <c r="G398" s="2"/>
    </row>
    <row r="399" spans="1:7" ht="15">
      <c r="A399" s="2"/>
      <c r="B399" s="2"/>
      <c r="C399" s="2"/>
      <c r="D399" s="2"/>
      <c r="E399" s="2"/>
      <c r="F399" s="2"/>
      <c r="G399" s="2"/>
    </row>
    <row r="400" spans="1:7" ht="15">
      <c r="A400" s="2"/>
      <c r="B400" s="2"/>
      <c r="C400" s="2"/>
      <c r="D400" s="2"/>
      <c r="E400" s="2"/>
      <c r="F400" s="2"/>
      <c r="G400" s="2"/>
    </row>
    <row r="401" spans="1:7" ht="15">
      <c r="A401" s="2"/>
      <c r="B401" s="2"/>
      <c r="C401" s="2"/>
      <c r="D401" s="2"/>
      <c r="E401" s="2"/>
      <c r="F401" s="2"/>
      <c r="G401" s="2"/>
    </row>
    <row r="402" spans="1:7" ht="15">
      <c r="A402" s="2"/>
      <c r="B402" s="2"/>
      <c r="C402" s="2"/>
      <c r="D402" s="2"/>
      <c r="E402" s="2"/>
      <c r="F402" s="2"/>
      <c r="G402" s="2"/>
    </row>
    <row r="403" spans="1:7" ht="15">
      <c r="A403" s="2"/>
      <c r="B403" s="2"/>
      <c r="C403" s="2"/>
      <c r="D403" s="2"/>
      <c r="E403" s="2"/>
      <c r="F403" s="2"/>
      <c r="G403" s="2"/>
    </row>
    <row r="404" spans="1:7" ht="15">
      <c r="A404" s="2"/>
      <c r="B404" s="2"/>
      <c r="C404" s="2"/>
      <c r="D404" s="2"/>
      <c r="E404" s="2"/>
      <c r="F404" s="2"/>
      <c r="G404" s="2"/>
    </row>
    <row r="405" spans="1:7" ht="15">
      <c r="A405" s="2"/>
      <c r="B405" s="2"/>
      <c r="C405" s="2"/>
      <c r="D405" s="2"/>
      <c r="E405" s="2"/>
      <c r="F405" s="2"/>
      <c r="G405" s="2"/>
    </row>
    <row r="406" spans="1:7" ht="15">
      <c r="A406" s="2"/>
      <c r="B406" s="2"/>
      <c r="C406" s="2"/>
      <c r="D406" s="2"/>
      <c r="E406" s="2"/>
      <c r="F406" s="2"/>
      <c r="G406" s="2"/>
    </row>
    <row r="407" spans="1:7" ht="15">
      <c r="A407" s="2"/>
      <c r="B407" s="2"/>
      <c r="C407" s="2"/>
      <c r="D407" s="2"/>
      <c r="E407" s="2"/>
      <c r="F407" s="2"/>
      <c r="G407" s="2"/>
    </row>
    <row r="408" spans="1:7" ht="15">
      <c r="A408" s="2"/>
      <c r="B408" s="2"/>
      <c r="C408" s="2"/>
      <c r="D408" s="2"/>
      <c r="E408" s="2"/>
      <c r="F408" s="2"/>
      <c r="G408" s="2"/>
    </row>
    <row r="409" spans="1:7" ht="15">
      <c r="A409" s="2"/>
      <c r="B409" s="2"/>
      <c r="C409" s="2"/>
      <c r="D409" s="2"/>
      <c r="E409" s="2"/>
      <c r="F409" s="2"/>
      <c r="G409" s="2"/>
    </row>
    <row r="410" spans="1:7" ht="15">
      <c r="A410" s="2"/>
      <c r="B410" s="2"/>
      <c r="C410" s="2"/>
      <c r="D410" s="2"/>
      <c r="E410" s="2"/>
      <c r="F410" s="2"/>
      <c r="G410" s="2"/>
    </row>
    <row r="411" spans="1:7" ht="15">
      <c r="A411" s="2"/>
      <c r="B411" s="2"/>
      <c r="C411" s="2"/>
      <c r="D411" s="2"/>
      <c r="E411" s="2"/>
      <c r="F411" s="2"/>
      <c r="G411" s="2"/>
    </row>
    <row r="412" spans="1:7" ht="15">
      <c r="A412" s="2"/>
      <c r="B412" s="2"/>
      <c r="C412" s="2"/>
      <c r="D412" s="2"/>
      <c r="E412" s="2"/>
      <c r="F412" s="2"/>
      <c r="G412" s="2"/>
    </row>
    <row r="413" spans="1:7" ht="15">
      <c r="A413" s="2"/>
      <c r="B413" s="2"/>
      <c r="C413" s="2"/>
      <c r="D413" s="2"/>
      <c r="E413" s="2"/>
      <c r="F413" s="2"/>
      <c r="G413" s="2"/>
    </row>
    <row r="414" spans="1:7" ht="15">
      <c r="A414" s="2"/>
      <c r="B414" s="2"/>
      <c r="C414" s="2"/>
      <c r="D414" s="2"/>
      <c r="E414" s="2"/>
      <c r="F414" s="2"/>
      <c r="G414" s="2"/>
    </row>
    <row r="415" spans="1:7" ht="15">
      <c r="A415" s="2"/>
      <c r="B415" s="2"/>
      <c r="C415" s="2"/>
      <c r="D415" s="2"/>
      <c r="E415" s="2"/>
      <c r="F415" s="2"/>
      <c r="G415" s="2"/>
    </row>
    <row r="416" spans="1:7" ht="15">
      <c r="A416" s="2"/>
      <c r="B416" s="2"/>
      <c r="C416" s="2"/>
      <c r="D416" s="2"/>
      <c r="E416" s="2"/>
      <c r="F416" s="2"/>
      <c r="G416" s="2"/>
    </row>
    <row r="417" spans="1:7" ht="15">
      <c r="A417" s="2"/>
      <c r="B417" s="2"/>
      <c r="C417" s="2"/>
      <c r="D417" s="2"/>
      <c r="E417" s="2"/>
      <c r="F417" s="2"/>
      <c r="G417" s="2"/>
    </row>
    <row r="418" spans="1:7" ht="15">
      <c r="A418" s="2"/>
      <c r="B418" s="2"/>
      <c r="C418" s="2"/>
      <c r="D418" s="2"/>
      <c r="E418" s="2"/>
      <c r="F418" s="2"/>
      <c r="G418" s="2"/>
    </row>
    <row r="419" spans="1:7" ht="15">
      <c r="A419" s="2"/>
      <c r="B419" s="2"/>
      <c r="C419" s="2"/>
      <c r="D419" s="2"/>
      <c r="E419" s="2"/>
      <c r="F419" s="2"/>
      <c r="G419" s="2"/>
    </row>
    <row r="420" spans="1:7" ht="15">
      <c r="A420" s="2"/>
      <c r="B420" s="2"/>
      <c r="C420" s="2"/>
      <c r="D420" s="2"/>
      <c r="E420" s="2"/>
      <c r="F420" s="2"/>
      <c r="G420" s="2"/>
    </row>
    <row r="421" spans="1:7" ht="15">
      <c r="A421" s="2"/>
      <c r="B421" s="2"/>
      <c r="C421" s="2"/>
      <c r="D421" s="2"/>
      <c r="E421" s="2"/>
      <c r="F421" s="2"/>
      <c r="G421" s="2"/>
    </row>
    <row r="422" spans="1:7" ht="15">
      <c r="A422" s="2"/>
      <c r="B422" s="2"/>
      <c r="C422" s="2"/>
      <c r="D422" s="2"/>
      <c r="E422" s="2"/>
      <c r="F422" s="2"/>
      <c r="G422" s="2"/>
    </row>
    <row r="423" spans="1:7" ht="15">
      <c r="A423" s="2"/>
      <c r="B423" s="2"/>
      <c r="C423" s="2"/>
      <c r="D423" s="2"/>
      <c r="E423" s="2"/>
      <c r="F423" s="2"/>
      <c r="G423" s="2"/>
    </row>
    <row r="424" spans="1:7" ht="15">
      <c r="A424" s="2"/>
      <c r="B424" s="2"/>
      <c r="C424" s="2"/>
      <c r="D424" s="2"/>
      <c r="E424" s="2"/>
      <c r="F424" s="2"/>
      <c r="G424" s="2"/>
    </row>
    <row r="425" spans="1:7" ht="15">
      <c r="A425" s="2"/>
      <c r="B425" s="2"/>
      <c r="C425" s="2"/>
      <c r="D425" s="2"/>
      <c r="E425" s="2"/>
      <c r="F425" s="2"/>
      <c r="G425" s="2"/>
    </row>
    <row r="426" spans="1:7" ht="15">
      <c r="A426" s="2"/>
      <c r="B426" s="2"/>
      <c r="C426" s="2"/>
      <c r="D426" s="2"/>
      <c r="E426" s="2"/>
      <c r="F426" s="2"/>
      <c r="G426" s="2"/>
    </row>
    <row r="427" spans="1:7" ht="15">
      <c r="A427" s="2"/>
      <c r="B427" s="2"/>
      <c r="C427" s="2"/>
      <c r="D427" s="2"/>
      <c r="E427" s="2"/>
      <c r="F427" s="2"/>
      <c r="G427" s="2"/>
    </row>
    <row r="428" spans="1:7" ht="15">
      <c r="A428" s="2"/>
      <c r="B428" s="2"/>
      <c r="C428" s="2"/>
      <c r="D428" s="2"/>
      <c r="E428" s="2"/>
      <c r="F428" s="2"/>
      <c r="G428" s="2"/>
    </row>
    <row r="429" spans="1:7" ht="15">
      <c r="A429" s="2"/>
      <c r="B429" s="2"/>
      <c r="C429" s="2"/>
      <c r="D429" s="2"/>
      <c r="E429" s="2"/>
      <c r="F429" s="2"/>
      <c r="G429" s="2"/>
    </row>
  </sheetData>
  <sheetProtection/>
  <mergeCells count="3">
    <mergeCell ref="A2:F2"/>
    <mergeCell ref="A149:G149"/>
  </mergeCells>
  <printOptions/>
  <pageMargins left="0.7874015748031497" right="0" top="0" bottom="0" header="0.5118110236220472" footer="0.5118110236220472"/>
  <pageSetup orientation="landscape" paperSize="9" scale="9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2017-03-23T11:31:13Z</cp:lastPrinted>
  <dcterms:created xsi:type="dcterms:W3CDTF">2016-01-13T06:07:18Z</dcterms:created>
  <dcterms:modified xsi:type="dcterms:W3CDTF">2017-03-30T07:29:23Z</dcterms:modified>
  <cp:category/>
  <cp:version/>
  <cp:contentType/>
  <cp:contentStatus/>
  <cp:revision>1</cp:revision>
</cp:coreProperties>
</file>